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LP\Documents\UNGLI\"/>
    </mc:Choice>
  </mc:AlternateContent>
  <xr:revisionPtr revIDLastSave="0" documentId="8_{3FF12697-0E10-4F62-898C-E410E6E9CC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1030_3914587_ungli" sheetId="1" r:id="rId1"/>
  </sheets>
  <definedNames>
    <definedName name="_xlnm._FilterDatabase" localSheetId="0" hidden="1">'20241030_3914587_ungli'!$A$1:$AN$1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D4" i="1"/>
  <c r="C374" i="1"/>
  <c r="D374" i="1"/>
  <c r="C170" i="1"/>
  <c r="D170" i="1"/>
  <c r="C43" i="1"/>
  <c r="D43" i="1"/>
  <c r="C171" i="1"/>
  <c r="D171" i="1"/>
  <c r="C172" i="1"/>
  <c r="D172" i="1"/>
  <c r="C375" i="1"/>
  <c r="D375" i="1"/>
  <c r="C376" i="1"/>
  <c r="D376" i="1"/>
  <c r="C173" i="1"/>
  <c r="D173" i="1"/>
  <c r="C174" i="1"/>
  <c r="D174" i="1"/>
  <c r="C354" i="1"/>
  <c r="D354" i="1"/>
  <c r="C175" i="1"/>
  <c r="D175" i="1"/>
  <c r="C377" i="1"/>
  <c r="D377" i="1"/>
  <c r="C176" i="1"/>
  <c r="D176" i="1"/>
  <c r="C5" i="1"/>
  <c r="D5" i="1"/>
  <c r="C378" i="1"/>
  <c r="D378" i="1"/>
  <c r="C164" i="1"/>
  <c r="D164" i="1"/>
  <c r="C6" i="1"/>
  <c r="D6" i="1"/>
  <c r="C379" i="1"/>
  <c r="D379" i="1"/>
  <c r="C380" i="1"/>
  <c r="D380" i="1"/>
  <c r="C7" i="1"/>
  <c r="D7" i="1"/>
  <c r="C381" i="1"/>
  <c r="D381" i="1"/>
  <c r="C177" i="1"/>
  <c r="D177" i="1"/>
  <c r="C382" i="1"/>
  <c r="D382" i="1"/>
  <c r="C178" i="1"/>
  <c r="D178" i="1"/>
  <c r="C383" i="1"/>
  <c r="D383" i="1"/>
  <c r="C179" i="1"/>
  <c r="D179" i="1"/>
  <c r="C384" i="1"/>
  <c r="D384" i="1"/>
  <c r="C180" i="1"/>
  <c r="D180" i="1"/>
  <c r="C385" i="1"/>
  <c r="D385" i="1"/>
  <c r="C386" i="1"/>
  <c r="D386" i="1"/>
  <c r="C44" i="1"/>
  <c r="D44" i="1"/>
  <c r="C8" i="1"/>
  <c r="D8" i="1"/>
  <c r="C9" i="1"/>
  <c r="D9" i="1"/>
  <c r="C181" i="1"/>
  <c r="D181" i="1"/>
  <c r="C10" i="1"/>
  <c r="D10" i="1"/>
  <c r="C373" i="1"/>
  <c r="D373" i="1"/>
  <c r="C182" i="1"/>
  <c r="D182" i="1"/>
  <c r="C183" i="1"/>
  <c r="D183" i="1"/>
  <c r="C45" i="1"/>
  <c r="D45" i="1"/>
  <c r="C387" i="1"/>
  <c r="D387" i="1"/>
  <c r="C366" i="1"/>
  <c r="D366" i="1"/>
  <c r="C184" i="1"/>
  <c r="D184" i="1"/>
  <c r="C185" i="1"/>
  <c r="D185" i="1"/>
  <c r="C186" i="1"/>
  <c r="D186" i="1"/>
  <c r="C187" i="1"/>
  <c r="D187" i="1"/>
  <c r="C363" i="1"/>
  <c r="D363" i="1"/>
  <c r="C188" i="1"/>
  <c r="D188" i="1"/>
  <c r="C189" i="1"/>
  <c r="D189" i="1"/>
  <c r="C11" i="1"/>
  <c r="D11" i="1"/>
  <c r="C190" i="1"/>
  <c r="D190" i="1"/>
  <c r="C191" i="1"/>
  <c r="D191" i="1"/>
  <c r="C192" i="1"/>
  <c r="D192" i="1"/>
  <c r="C46" i="1"/>
  <c r="D46" i="1"/>
  <c r="C193" i="1"/>
  <c r="D193" i="1"/>
  <c r="C194" i="1"/>
  <c r="D194" i="1"/>
  <c r="C195" i="1"/>
  <c r="D195" i="1"/>
  <c r="C196" i="1"/>
  <c r="D196" i="1"/>
  <c r="C167" i="1"/>
  <c r="D167" i="1"/>
  <c r="C197" i="1"/>
  <c r="D197" i="1"/>
  <c r="C62" i="1"/>
  <c r="D62" i="1"/>
  <c r="C388" i="1"/>
  <c r="D388" i="1"/>
  <c r="C198" i="1"/>
  <c r="D198" i="1"/>
  <c r="C199" i="1"/>
  <c r="D199" i="1"/>
  <c r="C12" i="1"/>
  <c r="D12" i="1"/>
  <c r="C13" i="1"/>
  <c r="D13" i="1"/>
  <c r="C47" i="1"/>
  <c r="D47" i="1"/>
  <c r="C200" i="1"/>
  <c r="D200" i="1"/>
  <c r="C201" i="1"/>
  <c r="D201" i="1"/>
  <c r="C355" i="1"/>
  <c r="D355" i="1"/>
  <c r="C202" i="1"/>
  <c r="D202" i="1"/>
  <c r="C203" i="1"/>
  <c r="D203" i="1"/>
  <c r="C351" i="1"/>
  <c r="D351" i="1"/>
  <c r="C389" i="1"/>
  <c r="D389" i="1"/>
  <c r="C390" i="1"/>
  <c r="D390" i="1"/>
  <c r="C204" i="1"/>
  <c r="D204" i="1"/>
  <c r="C205" i="1"/>
  <c r="D205" i="1"/>
  <c r="C168" i="1"/>
  <c r="D168" i="1"/>
  <c r="C206" i="1"/>
  <c r="D206" i="1"/>
  <c r="C391" i="1"/>
  <c r="D391" i="1"/>
  <c r="C207" i="1"/>
  <c r="D207" i="1"/>
  <c r="C208" i="1"/>
  <c r="D208" i="1"/>
  <c r="C209" i="1"/>
  <c r="D209" i="1"/>
  <c r="C210" i="1"/>
  <c r="D210" i="1"/>
  <c r="C211" i="1"/>
  <c r="D211" i="1"/>
  <c r="C392" i="1"/>
  <c r="D392" i="1"/>
  <c r="C393" i="1"/>
  <c r="D393" i="1"/>
  <c r="C212" i="1"/>
  <c r="D212" i="1"/>
  <c r="C394" i="1"/>
  <c r="D394" i="1"/>
  <c r="C213" i="1"/>
  <c r="D213" i="1"/>
  <c r="C214" i="1"/>
  <c r="D214" i="1"/>
  <c r="C395" i="1"/>
  <c r="D395" i="1"/>
  <c r="C396" i="1"/>
  <c r="D396" i="1"/>
  <c r="C215" i="1"/>
  <c r="D215" i="1"/>
  <c r="C216" i="1"/>
  <c r="D216" i="1"/>
  <c r="C217" i="1"/>
  <c r="D217" i="1"/>
  <c r="C334" i="1"/>
  <c r="D334" i="1"/>
  <c r="C218" i="1"/>
  <c r="D218" i="1"/>
  <c r="C219" i="1"/>
  <c r="D219" i="1"/>
  <c r="C397" i="1"/>
  <c r="D397" i="1"/>
  <c r="C220" i="1"/>
  <c r="D220" i="1"/>
  <c r="C335" i="1"/>
  <c r="D335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398" i="1"/>
  <c r="D398" i="1"/>
  <c r="C399" i="1"/>
  <c r="D399" i="1"/>
  <c r="C400" i="1"/>
  <c r="D400" i="1"/>
  <c r="C230" i="1"/>
  <c r="D230" i="1"/>
  <c r="C231" i="1"/>
  <c r="D231" i="1"/>
  <c r="C165" i="1"/>
  <c r="D165" i="1"/>
  <c r="C14" i="1"/>
  <c r="D14" i="1"/>
  <c r="C401" i="1"/>
  <c r="D401" i="1"/>
  <c r="C232" i="1"/>
  <c r="D232" i="1"/>
  <c r="C336" i="1"/>
  <c r="D336" i="1"/>
  <c r="C402" i="1"/>
  <c r="D402" i="1"/>
  <c r="C233" i="1"/>
  <c r="D233" i="1"/>
  <c r="C234" i="1"/>
  <c r="D234" i="1"/>
  <c r="C2" i="1"/>
  <c r="D2" i="1"/>
  <c r="C3" i="1"/>
  <c r="D3" i="1"/>
  <c r="C235" i="1"/>
  <c r="D235" i="1"/>
  <c r="C403" i="1"/>
  <c r="D403" i="1"/>
  <c r="C404" i="1"/>
  <c r="D404" i="1"/>
  <c r="C405" i="1"/>
  <c r="D405" i="1"/>
  <c r="C406" i="1"/>
  <c r="D406" i="1"/>
  <c r="C407" i="1"/>
  <c r="D407" i="1"/>
  <c r="C15" i="1"/>
  <c r="D15" i="1"/>
  <c r="C236" i="1"/>
  <c r="D236" i="1"/>
  <c r="C237" i="1"/>
  <c r="D237" i="1"/>
  <c r="C238" i="1"/>
  <c r="D238" i="1"/>
  <c r="C408" i="1"/>
  <c r="D408" i="1"/>
  <c r="C239" i="1"/>
  <c r="D239" i="1"/>
  <c r="C240" i="1"/>
  <c r="D240" i="1"/>
  <c r="C241" i="1"/>
  <c r="D241" i="1"/>
  <c r="C16" i="1"/>
  <c r="D16" i="1"/>
  <c r="C409" i="1"/>
  <c r="D409" i="1"/>
  <c r="C17" i="1"/>
  <c r="D17" i="1"/>
  <c r="C410" i="1"/>
  <c r="D410" i="1"/>
  <c r="C242" i="1"/>
  <c r="D242" i="1"/>
  <c r="C367" i="1"/>
  <c r="D367" i="1"/>
  <c r="C243" i="1"/>
  <c r="D243" i="1"/>
  <c r="C411" i="1"/>
  <c r="D411" i="1"/>
  <c r="C244" i="1"/>
  <c r="D244" i="1"/>
  <c r="C412" i="1"/>
  <c r="D412" i="1"/>
  <c r="C413" i="1"/>
  <c r="D413" i="1"/>
  <c r="C245" i="1"/>
  <c r="D245" i="1"/>
  <c r="C356" i="1"/>
  <c r="D356" i="1"/>
  <c r="C246" i="1"/>
  <c r="D246" i="1"/>
  <c r="C247" i="1"/>
  <c r="D247" i="1"/>
  <c r="C337" i="1"/>
  <c r="D337" i="1"/>
  <c r="C357" i="1"/>
  <c r="D357" i="1"/>
  <c r="C63" i="1"/>
  <c r="D63" i="1"/>
  <c r="C414" i="1"/>
  <c r="D414" i="1"/>
  <c r="C248" i="1"/>
  <c r="D248" i="1"/>
  <c r="C249" i="1"/>
  <c r="D249" i="1"/>
  <c r="C415" i="1"/>
  <c r="D415" i="1"/>
  <c r="C416" i="1"/>
  <c r="D416" i="1"/>
  <c r="C331" i="1"/>
  <c r="D331" i="1"/>
  <c r="C417" i="1"/>
  <c r="D417" i="1"/>
  <c r="C418" i="1"/>
  <c r="D418" i="1"/>
  <c r="C419" i="1"/>
  <c r="D419" i="1"/>
  <c r="C420" i="1"/>
  <c r="D420" i="1"/>
  <c r="C250" i="1"/>
  <c r="D250" i="1"/>
  <c r="C251" i="1"/>
  <c r="D251" i="1"/>
  <c r="C18" i="1"/>
  <c r="D18" i="1"/>
  <c r="C353" i="1"/>
  <c r="D353" i="1"/>
  <c r="C252" i="1"/>
  <c r="D252" i="1"/>
  <c r="C253" i="1"/>
  <c r="D253" i="1"/>
  <c r="C338" i="1"/>
  <c r="D338" i="1"/>
  <c r="C254" i="1"/>
  <c r="D254" i="1"/>
  <c r="C255" i="1"/>
  <c r="D255" i="1"/>
  <c r="C256" i="1"/>
  <c r="D256" i="1"/>
  <c r="C257" i="1"/>
  <c r="D257" i="1"/>
  <c r="C258" i="1"/>
  <c r="D258" i="1"/>
  <c r="C368" i="1"/>
  <c r="D368" i="1"/>
  <c r="C339" i="1"/>
  <c r="D339" i="1"/>
  <c r="C421" i="1"/>
  <c r="D421" i="1"/>
  <c r="C259" i="1"/>
  <c r="D259" i="1"/>
  <c r="C422" i="1"/>
  <c r="D422" i="1"/>
  <c r="C423" i="1"/>
  <c r="D423" i="1"/>
  <c r="C260" i="1"/>
  <c r="D260" i="1"/>
  <c r="C261" i="1"/>
  <c r="D261" i="1"/>
  <c r="C262" i="1"/>
  <c r="D262" i="1"/>
  <c r="C358" i="1"/>
  <c r="D358" i="1"/>
  <c r="C263" i="1"/>
  <c r="D263" i="1"/>
  <c r="C48" i="1"/>
  <c r="D48" i="1"/>
  <c r="C264" i="1"/>
  <c r="D264" i="1"/>
  <c r="C424" i="1"/>
  <c r="D424" i="1"/>
  <c r="C265" i="1"/>
  <c r="D265" i="1"/>
  <c r="C266" i="1"/>
  <c r="D266" i="1"/>
  <c r="C352" i="1"/>
  <c r="D352" i="1"/>
  <c r="C340" i="1"/>
  <c r="D340" i="1"/>
  <c r="C425" i="1"/>
  <c r="D425" i="1"/>
  <c r="C341" i="1"/>
  <c r="D341" i="1"/>
  <c r="C342" i="1"/>
  <c r="D342" i="1"/>
  <c r="C343" i="1"/>
  <c r="D343" i="1"/>
  <c r="C344" i="1"/>
  <c r="D344" i="1"/>
  <c r="C426" i="1"/>
  <c r="D426" i="1"/>
  <c r="C267" i="1"/>
  <c r="D267" i="1"/>
  <c r="C268" i="1"/>
  <c r="D268" i="1"/>
  <c r="C427" i="1"/>
  <c r="D427" i="1"/>
  <c r="C269" i="1"/>
  <c r="D269" i="1"/>
  <c r="C428" i="1"/>
  <c r="D428" i="1"/>
  <c r="C429" i="1"/>
  <c r="D429" i="1"/>
  <c r="C64" i="1"/>
  <c r="D64" i="1"/>
  <c r="C345" i="1"/>
  <c r="D345" i="1"/>
  <c r="C19" i="1"/>
  <c r="D19" i="1"/>
  <c r="C430" i="1"/>
  <c r="D430" i="1"/>
  <c r="C431" i="1"/>
  <c r="D431" i="1"/>
  <c r="C432" i="1"/>
  <c r="D432" i="1"/>
  <c r="C433" i="1"/>
  <c r="D433" i="1"/>
  <c r="C434" i="1"/>
  <c r="D434" i="1"/>
  <c r="C435" i="1"/>
  <c r="D435" i="1"/>
  <c r="C270" i="1"/>
  <c r="D270" i="1"/>
  <c r="C49" i="1"/>
  <c r="D49" i="1"/>
  <c r="C436" i="1"/>
  <c r="D436" i="1"/>
  <c r="C271" i="1"/>
  <c r="D271" i="1"/>
  <c r="C437" i="1"/>
  <c r="D437" i="1"/>
  <c r="C438" i="1"/>
  <c r="D438" i="1"/>
  <c r="C439" i="1"/>
  <c r="D439" i="1"/>
  <c r="C272" i="1"/>
  <c r="D272" i="1"/>
  <c r="C440" i="1"/>
  <c r="D440" i="1"/>
  <c r="C273" i="1"/>
  <c r="D273" i="1"/>
  <c r="C441" i="1"/>
  <c r="D441" i="1"/>
  <c r="C442" i="1"/>
  <c r="D442" i="1"/>
  <c r="C443" i="1"/>
  <c r="D443" i="1"/>
  <c r="C274" i="1"/>
  <c r="D274" i="1"/>
  <c r="C275" i="1"/>
  <c r="D275" i="1"/>
  <c r="C276" i="1"/>
  <c r="D276" i="1"/>
  <c r="C277" i="1"/>
  <c r="D277" i="1"/>
  <c r="C278" i="1"/>
  <c r="D278" i="1"/>
  <c r="C346" i="1"/>
  <c r="D346" i="1"/>
  <c r="C279" i="1"/>
  <c r="D279" i="1"/>
  <c r="C444" i="1"/>
  <c r="D444" i="1"/>
  <c r="C280" i="1"/>
  <c r="D280" i="1"/>
  <c r="C281" i="1"/>
  <c r="D281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C282" i="1"/>
  <c r="D282" i="1"/>
  <c r="C50" i="1"/>
  <c r="D50" i="1"/>
  <c r="C283" i="1"/>
  <c r="D283" i="1"/>
  <c r="C284" i="1"/>
  <c r="D284" i="1"/>
  <c r="C285" i="1"/>
  <c r="D285" i="1"/>
  <c r="C456" i="1"/>
  <c r="D456" i="1"/>
  <c r="C457" i="1"/>
  <c r="D457" i="1"/>
  <c r="C458" i="1"/>
  <c r="D458" i="1"/>
  <c r="C20" i="1"/>
  <c r="D20" i="1"/>
  <c r="C459" i="1"/>
  <c r="D459" i="1"/>
  <c r="C21" i="1"/>
  <c r="D21" i="1"/>
  <c r="C460" i="1"/>
  <c r="D460" i="1"/>
  <c r="C359" i="1"/>
  <c r="D359" i="1"/>
  <c r="C65" i="1"/>
  <c r="D65" i="1"/>
  <c r="C286" i="1"/>
  <c r="D286" i="1"/>
  <c r="C287" i="1"/>
  <c r="D287" i="1"/>
  <c r="C288" i="1"/>
  <c r="D288" i="1"/>
  <c r="C461" i="1"/>
  <c r="D461" i="1"/>
  <c r="C462" i="1"/>
  <c r="D462" i="1"/>
  <c r="C463" i="1"/>
  <c r="D463" i="1"/>
  <c r="C464" i="1"/>
  <c r="D464" i="1"/>
  <c r="C66" i="1"/>
  <c r="D66" i="1"/>
  <c r="C465" i="1"/>
  <c r="D465" i="1"/>
  <c r="C67" i="1"/>
  <c r="D67" i="1"/>
  <c r="C68" i="1"/>
  <c r="D68" i="1"/>
  <c r="C69" i="1"/>
  <c r="D69" i="1"/>
  <c r="C70" i="1"/>
  <c r="D70" i="1"/>
  <c r="C71" i="1"/>
  <c r="D71" i="1"/>
  <c r="C466" i="1"/>
  <c r="D466" i="1"/>
  <c r="C467" i="1"/>
  <c r="D467" i="1"/>
  <c r="C468" i="1"/>
  <c r="D468" i="1"/>
  <c r="C469" i="1"/>
  <c r="D469" i="1"/>
  <c r="C289" i="1"/>
  <c r="D289" i="1"/>
  <c r="C72" i="1"/>
  <c r="D72" i="1"/>
  <c r="C290" i="1"/>
  <c r="D290" i="1"/>
  <c r="C291" i="1"/>
  <c r="D291" i="1"/>
  <c r="C470" i="1"/>
  <c r="D470" i="1"/>
  <c r="C471" i="1"/>
  <c r="D471" i="1"/>
  <c r="C51" i="1"/>
  <c r="D51" i="1"/>
  <c r="C472" i="1"/>
  <c r="D472" i="1"/>
  <c r="C73" i="1"/>
  <c r="D73" i="1"/>
  <c r="C74" i="1"/>
  <c r="D74" i="1"/>
  <c r="C473" i="1"/>
  <c r="D473" i="1"/>
  <c r="C292" i="1"/>
  <c r="D292" i="1"/>
  <c r="C474" i="1"/>
  <c r="D474" i="1"/>
  <c r="C293" i="1"/>
  <c r="D293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475" i="1"/>
  <c r="D475" i="1"/>
  <c r="C294" i="1"/>
  <c r="D294" i="1"/>
  <c r="C84" i="1"/>
  <c r="D84" i="1"/>
  <c r="C85" i="1"/>
  <c r="D85" i="1"/>
  <c r="C476" i="1"/>
  <c r="D476" i="1"/>
  <c r="C477" i="1"/>
  <c r="D477" i="1"/>
  <c r="C295" i="1"/>
  <c r="D295" i="1"/>
  <c r="C296" i="1"/>
  <c r="D296" i="1"/>
  <c r="C22" i="1"/>
  <c r="D22" i="1"/>
  <c r="C478" i="1"/>
  <c r="D478" i="1"/>
  <c r="C479" i="1"/>
  <c r="D479" i="1"/>
  <c r="C297" i="1"/>
  <c r="D297" i="1"/>
  <c r="C298" i="1"/>
  <c r="D298" i="1"/>
  <c r="C480" i="1"/>
  <c r="D480" i="1"/>
  <c r="C86" i="1"/>
  <c r="D86" i="1"/>
  <c r="C87" i="1"/>
  <c r="D87" i="1"/>
  <c r="C88" i="1"/>
  <c r="D88" i="1"/>
  <c r="C89" i="1"/>
  <c r="D89" i="1"/>
  <c r="C90" i="1"/>
  <c r="D90" i="1"/>
  <c r="C23" i="1"/>
  <c r="D23" i="1"/>
  <c r="C299" i="1"/>
  <c r="D299" i="1"/>
  <c r="C300" i="1"/>
  <c r="D300" i="1"/>
  <c r="C481" i="1"/>
  <c r="D481" i="1"/>
  <c r="C301" i="1"/>
  <c r="D301" i="1"/>
  <c r="C91" i="1"/>
  <c r="D91" i="1"/>
  <c r="C482" i="1"/>
  <c r="D482" i="1"/>
  <c r="C92" i="1"/>
  <c r="D92" i="1"/>
  <c r="C93" i="1"/>
  <c r="D93" i="1"/>
  <c r="C94" i="1"/>
  <c r="D94" i="1"/>
  <c r="C95" i="1"/>
  <c r="D95" i="1"/>
  <c r="C96" i="1"/>
  <c r="D96" i="1"/>
  <c r="C97" i="1"/>
  <c r="D97" i="1"/>
  <c r="C347" i="1"/>
  <c r="D347" i="1"/>
  <c r="C483" i="1"/>
  <c r="D483" i="1"/>
  <c r="C98" i="1"/>
  <c r="D98" i="1"/>
  <c r="C99" i="1"/>
  <c r="D99" i="1"/>
  <c r="C100" i="1"/>
  <c r="D100" i="1"/>
  <c r="C369" i="1"/>
  <c r="D369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484" i="1"/>
  <c r="D484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485" i="1"/>
  <c r="D485" i="1"/>
  <c r="C166" i="1"/>
  <c r="D166" i="1"/>
  <c r="C486" i="1"/>
  <c r="D486" i="1"/>
  <c r="C487" i="1"/>
  <c r="D487" i="1"/>
  <c r="C127" i="1"/>
  <c r="D127" i="1"/>
  <c r="C128" i="1"/>
  <c r="D128" i="1"/>
  <c r="C302" i="1"/>
  <c r="D302" i="1"/>
  <c r="C129" i="1"/>
  <c r="D129" i="1"/>
  <c r="C360" i="1"/>
  <c r="D360" i="1"/>
  <c r="C488" i="1"/>
  <c r="D488" i="1"/>
  <c r="C24" i="1"/>
  <c r="D24" i="1"/>
  <c r="C364" i="1"/>
  <c r="D364" i="1"/>
  <c r="C303" i="1"/>
  <c r="D303" i="1"/>
  <c r="C489" i="1"/>
  <c r="D489" i="1"/>
  <c r="C304" i="1"/>
  <c r="D304" i="1"/>
  <c r="C305" i="1"/>
  <c r="D305" i="1"/>
  <c r="C306" i="1"/>
  <c r="D306" i="1"/>
  <c r="C307" i="1"/>
  <c r="D307" i="1"/>
  <c r="C169" i="1"/>
  <c r="D169" i="1"/>
  <c r="C308" i="1"/>
  <c r="D308" i="1"/>
  <c r="C309" i="1"/>
  <c r="D309" i="1"/>
  <c r="C130" i="1"/>
  <c r="D130" i="1"/>
  <c r="C348" i="1"/>
  <c r="D348" i="1"/>
  <c r="C370" i="1"/>
  <c r="D370" i="1"/>
  <c r="C310" i="1"/>
  <c r="D310" i="1"/>
  <c r="C490" i="1"/>
  <c r="D490" i="1"/>
  <c r="C361" i="1"/>
  <c r="D361" i="1"/>
  <c r="C491" i="1"/>
  <c r="D491" i="1"/>
  <c r="C311" i="1"/>
  <c r="D311" i="1"/>
  <c r="C492" i="1"/>
  <c r="D492" i="1"/>
  <c r="C312" i="1"/>
  <c r="D312" i="1"/>
  <c r="C52" i="1"/>
  <c r="D52" i="1"/>
  <c r="C313" i="1"/>
  <c r="D313" i="1"/>
  <c r="C314" i="1"/>
  <c r="D314" i="1"/>
  <c r="C25" i="1"/>
  <c r="D25" i="1"/>
  <c r="C493" i="1"/>
  <c r="D493" i="1"/>
  <c r="C494" i="1"/>
  <c r="D494" i="1"/>
  <c r="C131" i="1"/>
  <c r="D131" i="1"/>
  <c r="C495" i="1"/>
  <c r="D495" i="1"/>
  <c r="C315" i="1"/>
  <c r="D315" i="1"/>
  <c r="C26" i="1"/>
  <c r="D26" i="1"/>
  <c r="C316" i="1"/>
  <c r="D316" i="1"/>
  <c r="C132" i="1"/>
  <c r="D132" i="1"/>
  <c r="C496" i="1"/>
  <c r="D496" i="1"/>
  <c r="C317" i="1"/>
  <c r="D317" i="1"/>
  <c r="C497" i="1"/>
  <c r="D497" i="1"/>
  <c r="C498" i="1"/>
  <c r="D498" i="1"/>
  <c r="C499" i="1"/>
  <c r="D499" i="1"/>
  <c r="C500" i="1"/>
  <c r="D500" i="1"/>
  <c r="C501" i="1"/>
  <c r="D501" i="1"/>
  <c r="C349" i="1"/>
  <c r="D349" i="1"/>
  <c r="C502" i="1"/>
  <c r="D502" i="1"/>
  <c r="C27" i="1"/>
  <c r="D27" i="1"/>
  <c r="C318" i="1"/>
  <c r="D318" i="1"/>
  <c r="C503" i="1"/>
  <c r="D503" i="1"/>
  <c r="C332" i="1"/>
  <c r="D332" i="1"/>
  <c r="C319" i="1"/>
  <c r="D319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504" i="1"/>
  <c r="D504" i="1"/>
  <c r="C139" i="1"/>
  <c r="D139" i="1"/>
  <c r="C140" i="1"/>
  <c r="D140" i="1"/>
  <c r="C505" i="1"/>
  <c r="D505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506" i="1"/>
  <c r="D506" i="1"/>
  <c r="C148" i="1"/>
  <c r="D148" i="1"/>
  <c r="C149" i="1"/>
  <c r="D149" i="1"/>
  <c r="C507" i="1"/>
  <c r="D507" i="1"/>
  <c r="C508" i="1"/>
  <c r="D508" i="1"/>
  <c r="C150" i="1"/>
  <c r="D150" i="1"/>
  <c r="C151" i="1"/>
  <c r="D151" i="1"/>
  <c r="C152" i="1"/>
  <c r="D152" i="1"/>
  <c r="C509" i="1"/>
  <c r="D509" i="1"/>
  <c r="C153" i="1"/>
  <c r="D153" i="1"/>
  <c r="C154" i="1"/>
  <c r="D154" i="1"/>
  <c r="C510" i="1"/>
  <c r="D510" i="1"/>
  <c r="C155" i="1"/>
  <c r="D155" i="1"/>
  <c r="C156" i="1"/>
  <c r="D156" i="1"/>
  <c r="C157" i="1"/>
  <c r="D157" i="1"/>
  <c r="C158" i="1"/>
  <c r="D158" i="1"/>
  <c r="C511" i="1"/>
  <c r="D511" i="1"/>
  <c r="C333" i="1"/>
  <c r="D333" i="1"/>
  <c r="C28" i="1"/>
  <c r="D28" i="1"/>
  <c r="C320" i="1"/>
  <c r="D320" i="1"/>
  <c r="C53" i="1"/>
  <c r="D53" i="1"/>
  <c r="C29" i="1"/>
  <c r="D29" i="1"/>
  <c r="C371" i="1"/>
  <c r="D371" i="1"/>
  <c r="C54" i="1"/>
  <c r="D54" i="1"/>
  <c r="C30" i="1"/>
  <c r="D30" i="1"/>
  <c r="C55" i="1"/>
  <c r="D55" i="1"/>
  <c r="C512" i="1"/>
  <c r="D512" i="1"/>
  <c r="C513" i="1"/>
  <c r="D513" i="1"/>
  <c r="C56" i="1"/>
  <c r="D56" i="1"/>
  <c r="C321" i="1"/>
  <c r="D321" i="1"/>
  <c r="C372" i="1"/>
  <c r="D372" i="1"/>
  <c r="C514" i="1"/>
  <c r="D514" i="1"/>
  <c r="C365" i="1"/>
  <c r="D365" i="1"/>
  <c r="C322" i="1"/>
  <c r="D322" i="1"/>
  <c r="C323" i="1"/>
  <c r="D323" i="1"/>
  <c r="C515" i="1"/>
  <c r="D515" i="1"/>
  <c r="C31" i="1"/>
  <c r="D31" i="1"/>
  <c r="C324" i="1"/>
  <c r="D324" i="1"/>
  <c r="C57" i="1"/>
  <c r="D57" i="1"/>
  <c r="C516" i="1"/>
  <c r="D516" i="1"/>
  <c r="C325" i="1"/>
  <c r="D325" i="1"/>
  <c r="C517" i="1"/>
  <c r="D517" i="1"/>
  <c r="C518" i="1"/>
  <c r="D518" i="1"/>
  <c r="C326" i="1"/>
  <c r="D326" i="1"/>
  <c r="C32" i="1"/>
  <c r="D32" i="1"/>
  <c r="C327" i="1"/>
  <c r="D327" i="1"/>
  <c r="C33" i="1"/>
  <c r="D33" i="1"/>
  <c r="C519" i="1"/>
  <c r="D519" i="1"/>
  <c r="C520" i="1"/>
  <c r="D520" i="1"/>
  <c r="C159" i="1"/>
  <c r="D159" i="1"/>
  <c r="C521" i="1"/>
  <c r="D521" i="1"/>
  <c r="C58" i="1"/>
  <c r="D58" i="1"/>
  <c r="C522" i="1"/>
  <c r="D522" i="1"/>
  <c r="C34" i="1"/>
  <c r="D34" i="1"/>
  <c r="C328" i="1"/>
  <c r="D328" i="1"/>
  <c r="C35" i="1"/>
  <c r="D35" i="1"/>
  <c r="C36" i="1"/>
  <c r="D36" i="1"/>
  <c r="C523" i="1"/>
  <c r="D523" i="1"/>
  <c r="C329" i="1"/>
  <c r="D329" i="1"/>
  <c r="C350" i="1"/>
  <c r="D350" i="1"/>
  <c r="C160" i="1"/>
  <c r="D160" i="1"/>
  <c r="C161" i="1"/>
  <c r="D161" i="1"/>
  <c r="C162" i="1"/>
  <c r="D162" i="1"/>
  <c r="C524" i="1"/>
  <c r="D524" i="1"/>
  <c r="C525" i="1"/>
  <c r="D525" i="1"/>
  <c r="C37" i="1"/>
  <c r="D37" i="1"/>
  <c r="C362" i="1"/>
  <c r="D362" i="1"/>
  <c r="C38" i="1"/>
  <c r="D38" i="1"/>
  <c r="C163" i="1"/>
  <c r="D163" i="1"/>
  <c r="C59" i="1"/>
  <c r="D59" i="1"/>
  <c r="C39" i="1"/>
  <c r="D39" i="1"/>
  <c r="C60" i="1"/>
  <c r="D60" i="1"/>
  <c r="C526" i="1"/>
  <c r="D526" i="1"/>
  <c r="C61" i="1"/>
  <c r="D61" i="1"/>
  <c r="C527" i="1"/>
  <c r="D527" i="1"/>
  <c r="C40" i="1"/>
  <c r="D40" i="1"/>
  <c r="C41" i="1"/>
  <c r="D41" i="1"/>
  <c r="C528" i="1"/>
  <c r="D528" i="1"/>
  <c r="C330" i="1"/>
  <c r="D330" i="1"/>
  <c r="C42" i="1"/>
  <c r="D42" i="1"/>
  <c r="C529" i="1"/>
  <c r="D529" i="1"/>
  <c r="C530" i="1"/>
  <c r="D530" i="1"/>
  <c r="C531" i="1"/>
  <c r="D531" i="1"/>
</calcChain>
</file>

<file path=xl/sharedStrings.xml><?xml version="1.0" encoding="utf-8"?>
<sst xmlns="http://schemas.openxmlformats.org/spreadsheetml/2006/main" count="3969" uniqueCount="1622">
  <si>
    <t>Nettel, Guadalupe</t>
  </si>
  <si>
    <t>Esteban Erlés, Patricia</t>
  </si>
  <si>
    <t>Document ID</t>
  </si>
  <si>
    <t>Title</t>
  </si>
  <si>
    <t>PrintIsbn</t>
  </si>
  <si>
    <t>EIsbn</t>
  </si>
  <si>
    <t>PublicationDate</t>
  </si>
  <si>
    <t>Date Added</t>
  </si>
  <si>
    <t>Authors</t>
  </si>
  <si>
    <t>Subject</t>
  </si>
  <si>
    <t>Lcc</t>
  </si>
  <si>
    <t>Dewey</t>
  </si>
  <si>
    <t>Lcsh</t>
  </si>
  <si>
    <t>Language</t>
  </si>
  <si>
    <t>Available for Sale</t>
  </si>
  <si>
    <t>Digital Course Reserve</t>
  </si>
  <si>
    <t>Max Concurrent Users</t>
  </si>
  <si>
    <t>DDA Available</t>
  </si>
  <si>
    <t>Full Download Available</t>
  </si>
  <si>
    <t>EPUB Full Download Only</t>
  </si>
  <si>
    <t>STL Available</t>
  </si>
  <si>
    <t>DRM Free Available for Sale</t>
  </si>
  <si>
    <t>Full Record URL</t>
  </si>
  <si>
    <t>The Arab World</t>
  </si>
  <si>
    <t>Findlay, Allan M.</t>
  </si>
  <si>
    <t>Business/Management</t>
  </si>
  <si>
    <t>Segregation and Apartheid in Twentieth Century South Africa</t>
  </si>
  <si>
    <t>Beinart, William</t>
  </si>
  <si>
    <t>The Two Red Flags : European Social Democracy and Soviet Communism Since 1945</t>
  </si>
  <si>
    <t>Childs, David</t>
  </si>
  <si>
    <t>History</t>
  </si>
  <si>
    <t>Pacific Asia</t>
  </si>
  <si>
    <t>Drakakis-Smith, David W.</t>
  </si>
  <si>
    <t>Economics</t>
  </si>
  <si>
    <t>The Spanish Civil War</t>
  </si>
  <si>
    <t>Forrest, Andrew</t>
  </si>
  <si>
    <t>DP269 -- .F62 2000eb</t>
  </si>
  <si>
    <t>Spain -- History -- Civil War, 1936-1939</t>
  </si>
  <si>
    <t>English</t>
  </si>
  <si>
    <t>Yes</t>
  </si>
  <si>
    <t>No</t>
  </si>
  <si>
    <t>https://ebookcentral.proquest.com/lib/ungli/detail.action?docID=180182</t>
  </si>
  <si>
    <t>Contemporary China - an Introduction</t>
  </si>
  <si>
    <t>Dillon, Michael</t>
  </si>
  <si>
    <t>DS706 -- .D55 2009eb</t>
  </si>
  <si>
    <t>951.06</t>
  </si>
  <si>
    <t>China</t>
  </si>
  <si>
    <t>https://ebookcentral.proquest.com/lib/ungli/detail.action?docID=182146</t>
  </si>
  <si>
    <t>The Peloponnesian War</t>
  </si>
  <si>
    <t>Lazenby, Professor J. F.</t>
  </si>
  <si>
    <t>Travels in Tartary Thibet and China, Volume Two : 1844-1846</t>
  </si>
  <si>
    <t>Gabet</t>
  </si>
  <si>
    <t>Encyclopedia of Contemporary Chinese Culture</t>
  </si>
  <si>
    <t>Davis, Edward L.</t>
  </si>
  <si>
    <t>DS777.6 -- E52 205eb</t>
  </si>
  <si>
    <t>History -- China -- 1976-</t>
  </si>
  <si>
    <t>https://ebookcentral.proquest.com/lib/ungli/detail.action?docID=200025</t>
  </si>
  <si>
    <t>The Partition of Africa : And European Imperialism 1880-1900</t>
  </si>
  <si>
    <t>Mackenzie, John</t>
  </si>
  <si>
    <t>Africa - History - 1884-1918</t>
  </si>
  <si>
    <t>https://ebookcentral.proquest.com/lib/ungli/detail.action?docID=237438</t>
  </si>
  <si>
    <t>The Endgame of Globalization</t>
  </si>
  <si>
    <t>Smith, Neil</t>
  </si>
  <si>
    <t>Political Science</t>
  </si>
  <si>
    <t>Power and Prowess : The Origins of Brooke Kingship in Sarawak</t>
  </si>
  <si>
    <t>Walker, J. H.</t>
  </si>
  <si>
    <t>DS597.37 .W355 2002</t>
  </si>
  <si>
    <t>959.5/403</t>
  </si>
  <si>
    <t>Sarawak (Malaysia)-History</t>
  </si>
  <si>
    <t>https://ebookcentral.proquest.com/lib/ungli/detail.action?docID=286509</t>
  </si>
  <si>
    <t>A History of Eastern Europe : Crisis and Change</t>
  </si>
  <si>
    <t>Bideleux, Robert</t>
  </si>
  <si>
    <t>History Skills : A Student's Handbook</t>
  </si>
  <si>
    <t>Abbott, Mary</t>
  </si>
  <si>
    <t>The Benchmarking Book</t>
  </si>
  <si>
    <t>Stapenhurst, Tim</t>
  </si>
  <si>
    <t>HD62.15 -- .S7366 2009eb</t>
  </si>
  <si>
    <t xml:space="preserve">Benchmarking (Management) </t>
  </si>
  <si>
    <t>Marketing: the Basics : The Basics</t>
  </si>
  <si>
    <t>Moore, Karl</t>
  </si>
  <si>
    <t>Television Studies: the Basics : The Basics</t>
  </si>
  <si>
    <t>Miller, Toby</t>
  </si>
  <si>
    <t>Fine Arts</t>
  </si>
  <si>
    <t>The Good Work Guide : How to Make Organizations Fairer and More Effective</t>
  </si>
  <si>
    <t>Isles, Nick</t>
  </si>
  <si>
    <t>HD6955 -- .I85 2010eb</t>
  </si>
  <si>
    <t>658.3/01</t>
  </si>
  <si>
    <t>Quality of work life</t>
  </si>
  <si>
    <t>https://ebookcentral.proquest.com/lib/ungli/detail.action?docID=517198</t>
  </si>
  <si>
    <t>Aspects of Roman History 82BC-AD14 : A Source-Based Approach</t>
  </si>
  <si>
    <t>Davies, Mark</t>
  </si>
  <si>
    <t>Strategic Performance Management</t>
  </si>
  <si>
    <t>Marr, Bernard</t>
  </si>
  <si>
    <t>Effective Communications</t>
  </si>
  <si>
    <t>Elearn</t>
  </si>
  <si>
    <t>HF5718 -- .E44 2007eb</t>
  </si>
  <si>
    <t>658.45</t>
  </si>
  <si>
    <t>Communication</t>
  </si>
  <si>
    <t>https://ebookcentral.proquest.com/lib/ungli/detail.action?docID=548910</t>
  </si>
  <si>
    <t>Meiji 1868 : Revolution and Counter-Revolution in Japan</t>
  </si>
  <si>
    <t>Akamatsu, Paul</t>
  </si>
  <si>
    <t>Six Years of Hitler (RLE Responding to Fascism) : The Jews under the Nazi Regime</t>
  </si>
  <si>
    <t>Warburg, G.</t>
  </si>
  <si>
    <t>Consciousness : An Introduction</t>
  </si>
  <si>
    <t>Blackmore, Susan</t>
  </si>
  <si>
    <t>The Byzantine World</t>
  </si>
  <si>
    <t>Stephenson, Paul</t>
  </si>
  <si>
    <t>DF521 -- .B9365 2011eb</t>
  </si>
  <si>
    <t>949.5/02</t>
  </si>
  <si>
    <t>Aufsatzsammlung</t>
  </si>
  <si>
    <t>https://ebookcentral.proquest.com/lib/ungli/detail.action?docID=668275</t>
  </si>
  <si>
    <t>World Disasters : Tragedies in the Modern Age</t>
  </si>
  <si>
    <t>Eastlake, Keith</t>
  </si>
  <si>
    <t>Napoleon</t>
  </si>
  <si>
    <t>Lefebvre, Georges</t>
  </si>
  <si>
    <t>DC201 -- .L3413 2011eb</t>
  </si>
  <si>
    <t>France - History, Military - 1789-1815</t>
  </si>
  <si>
    <t>https://ebookcentral.proquest.com/lib/ungli/detail.action?docID=684014</t>
  </si>
  <si>
    <t>Three Men in a Boat and Three Men on the Bummel</t>
  </si>
  <si>
    <t>Jerome, Jerome k</t>
  </si>
  <si>
    <t>Timelines : A Political History of the Modern World</t>
  </si>
  <si>
    <t>Rees, John</t>
  </si>
  <si>
    <t>Critical Approaches to Comics : Theories and Methods</t>
  </si>
  <si>
    <t>Smith, Matthew J.</t>
  </si>
  <si>
    <t>A History of Japan</t>
  </si>
  <si>
    <t>Saito, Hisho</t>
  </si>
  <si>
    <t>Waste and Consumption : Capitalism, the Environment, and the Life of Things</t>
  </si>
  <si>
    <t>Falasca-Zamponi, Simonetta</t>
  </si>
  <si>
    <t>Post-Capitalist Society</t>
  </si>
  <si>
    <t>Drucker, Peter</t>
  </si>
  <si>
    <t>The Green Executive : Corporate Leadership in a Low Carbon Economy</t>
  </si>
  <si>
    <t>Kane, Gareth</t>
  </si>
  <si>
    <t>HD30.255 .K355 2011</t>
  </si>
  <si>
    <t>658.4/083</t>
  </si>
  <si>
    <t>Business enterprises - Environmental aspects</t>
  </si>
  <si>
    <t>https://ebookcentral.proquest.com/lib/ungli/detail.action?docID=1020272</t>
  </si>
  <si>
    <t>A History of the Roman World : 753 to 146 BC</t>
  </si>
  <si>
    <t>Scullard, H. H.</t>
  </si>
  <si>
    <t>DG231 .S35 2013</t>
  </si>
  <si>
    <t>937.01</t>
  </si>
  <si>
    <t>Rome -- History -- Kings, 753-510 B.C</t>
  </si>
  <si>
    <t>https://ebookcentral.proquest.com/lib/ungli/detail.action?docID=1024580</t>
  </si>
  <si>
    <t>Putting Emotional Intelligence to Work</t>
  </si>
  <si>
    <t>Ryback, David</t>
  </si>
  <si>
    <t>HD38.2 .R93</t>
  </si>
  <si>
    <t>Emotions and cognition</t>
  </si>
  <si>
    <t>https://ebookcentral.proquest.com/lib/ungli/detail.action?docID=1024589</t>
  </si>
  <si>
    <t>Tourism: the Key Concepts</t>
  </si>
  <si>
    <t>Robinson, Peter</t>
  </si>
  <si>
    <t>Tourism/Hospitality</t>
  </si>
  <si>
    <t>A Wolf in the Attic : The Legacy of a Hidden Child of the Holocaust</t>
  </si>
  <si>
    <t>Richman, Sophia</t>
  </si>
  <si>
    <t>DS135</t>
  </si>
  <si>
    <t>Women</t>
  </si>
  <si>
    <t>Célestin, Roger</t>
  </si>
  <si>
    <t>An Introduction to Capitalism</t>
  </si>
  <si>
    <t>Swanson, Paul</t>
  </si>
  <si>
    <t>Valley of Fear</t>
  </si>
  <si>
    <t>Doyle, Arthur Conan</t>
  </si>
  <si>
    <t>Women's Studies : The Basics</t>
  </si>
  <si>
    <t>Smith, Bonnie G.</t>
  </si>
  <si>
    <t>Social Science</t>
  </si>
  <si>
    <t>HQ1180 .S58 2013</t>
  </si>
  <si>
    <t>305.4</t>
  </si>
  <si>
    <t>Women's studies.</t>
  </si>
  <si>
    <t>https://ebookcentral.proquest.com/lib/ungli/detail.action?docID=1125189</t>
  </si>
  <si>
    <t>Mohammed and Charlemagne</t>
  </si>
  <si>
    <t>Pirenne, Henri</t>
  </si>
  <si>
    <t>D121 -- .P57 2008eb</t>
  </si>
  <si>
    <t xml:space="preserve">Europe -- History -- 392-814. </t>
  </si>
  <si>
    <t>The Royal Navy and the Mediterranean Convoys : A Naval Staff History</t>
  </si>
  <si>
    <t>Llewellyn-Jones, Malcolm</t>
  </si>
  <si>
    <t>D771 -- .R69 2007eb</t>
  </si>
  <si>
    <t>Naval convoys -- Mediterranean Region -- History -- 20th century</t>
  </si>
  <si>
    <t>https://ebookcentral.proquest.com/lib/ungli/detail.action?docID=1144600</t>
  </si>
  <si>
    <t>Historical Dictionary of the Elizabethan World : Britain, Ireland, Europe and America</t>
  </si>
  <si>
    <t>Wagner, John</t>
  </si>
  <si>
    <t>DA357.W34</t>
  </si>
  <si>
    <t>Ireland - History - 1558-1603 - Encyclopedias</t>
  </si>
  <si>
    <t>https://ebookcentral.proquest.com/lib/ungli/detail.action?docID=1144680</t>
  </si>
  <si>
    <t>Converging Worlds : Communities and Cultures in Colonial America, a Sourcebook</t>
  </si>
  <si>
    <t>Breen, Louise A.</t>
  </si>
  <si>
    <t>E18.82 .C672 2012</t>
  </si>
  <si>
    <t>973.2</t>
  </si>
  <si>
    <t>Europeans -- America -- History -- Sources</t>
  </si>
  <si>
    <t>https://ebookcentral.proquest.com/lib/ungli/detail.action?docID=1181092</t>
  </si>
  <si>
    <t>A Secret World : Sexuality and the Search for Celibacy</t>
  </si>
  <si>
    <t>Sipe, A. W. Richard</t>
  </si>
  <si>
    <t>Religion</t>
  </si>
  <si>
    <t>Ancient near East: the Basics</t>
  </si>
  <si>
    <t>Snell, Daniel C.</t>
  </si>
  <si>
    <t>DS62.2 .S57 2013</t>
  </si>
  <si>
    <t>939.4</t>
  </si>
  <si>
    <t xml:space="preserve">Middle East -- History -- To 622. </t>
  </si>
  <si>
    <t>Franco : The Biography of the Myth</t>
  </si>
  <si>
    <t>Cazorla-Sanchez, Antonio</t>
  </si>
  <si>
    <t>DP264.F7 .C39 2013</t>
  </si>
  <si>
    <t>Collective memory - Spain - History - 20th century</t>
  </si>
  <si>
    <t>https://ebookcentral.proquest.com/lib/ungli/detail.action?docID=1319042</t>
  </si>
  <si>
    <t>Public Relations: the Basics</t>
  </si>
  <si>
    <t>Smith, Ron</t>
  </si>
  <si>
    <t>A History of Medieval Europe : From Constantine to Saint Louis</t>
  </si>
  <si>
    <t>Davis, R. H. C.</t>
  </si>
  <si>
    <t>D118 -- .D385 2013eb</t>
  </si>
  <si>
    <t>940.1</t>
  </si>
  <si>
    <t>Europe - History - 476-1492</t>
  </si>
  <si>
    <t>https://ebookcentral.proquest.com/lib/ungli/detail.action?docID=1353496</t>
  </si>
  <si>
    <t>Luxor and Its Temples</t>
  </si>
  <si>
    <t>Blackman, A. M.</t>
  </si>
  <si>
    <t>DT73.T3 -- B5 2010eb</t>
  </si>
  <si>
    <t xml:space="preserve">Kings and rulers. </t>
  </si>
  <si>
    <t>Land of the Pharaohs</t>
  </si>
  <si>
    <t>Manning, Samuel</t>
  </si>
  <si>
    <t>DT61 -- .M36 2004eb</t>
  </si>
  <si>
    <t>932.01</t>
  </si>
  <si>
    <t>Egypt -- Description and travel</t>
  </si>
  <si>
    <t>https://ebookcentral.proquest.com/lib/ungli/detail.action?docID=1356128</t>
  </si>
  <si>
    <t>Fifty Major Economists</t>
  </si>
  <si>
    <t>Pressman, Steven</t>
  </si>
  <si>
    <t>Modern China</t>
  </si>
  <si>
    <t>Moise, Edwin E.</t>
  </si>
  <si>
    <t>DS774 -- .M58 2008eb</t>
  </si>
  <si>
    <t>951.05</t>
  </si>
  <si>
    <t>China -- History -- 20th century -- Textbooks.</t>
  </si>
  <si>
    <t>https://ebookcentral.proquest.com/lib/ungli/detail.action?docID=1356348</t>
  </si>
  <si>
    <t>The Koreas</t>
  </si>
  <si>
    <t>Armstrong, Charles K.</t>
  </si>
  <si>
    <t>DS902 .A75 2014</t>
  </si>
  <si>
    <t>951.9</t>
  </si>
  <si>
    <t>Korea (North)</t>
  </si>
  <si>
    <t>https://ebookcentral.proquest.com/lib/ungli/detail.action?docID=1357587</t>
  </si>
  <si>
    <t>A History of China</t>
  </si>
  <si>
    <t>Eberhard, Wolfram</t>
  </si>
  <si>
    <t>DS706 -- .E24 2005eb</t>
  </si>
  <si>
    <t>China -- History</t>
  </si>
  <si>
    <t>https://ebookcentral.proquest.com/lib/ungli/detail.action?docID=1395306</t>
  </si>
  <si>
    <t>The Weimar Republic</t>
  </si>
  <si>
    <t>Lee, Stephen J.</t>
  </si>
  <si>
    <t>DD240 -- .L394 2010eb</t>
  </si>
  <si>
    <t>Germany - Foreign relations - 1918-1933</t>
  </si>
  <si>
    <t>https://ebookcentral.proquest.com/lib/ungli/detail.action?docID=1397120</t>
  </si>
  <si>
    <t>World Politics Since 1945</t>
  </si>
  <si>
    <t>Calvocoressi, Peter</t>
  </si>
  <si>
    <t>Geography/Travel</t>
  </si>
  <si>
    <t>Zionism</t>
  </si>
  <si>
    <t>Engel, David</t>
  </si>
  <si>
    <t>Eco-Facts and Eco-fiction : Understanding the Environmental Debate</t>
  </si>
  <si>
    <t>Baarschers, William H.</t>
  </si>
  <si>
    <t>Environmental Studies</t>
  </si>
  <si>
    <t>GE195 .B33 2013</t>
  </si>
  <si>
    <t>363.7</t>
  </si>
  <si>
    <t>Environmental sciences</t>
  </si>
  <si>
    <t>https://ebookcentral.proquest.com/lib/ungli/detail.action?docID=1433519</t>
  </si>
  <si>
    <t>Negotiating Lesbian and Gay Subjects</t>
  </si>
  <si>
    <t>Dorenkamp, Monica</t>
  </si>
  <si>
    <t>The Louisiana Purchase : A Global Context</t>
  </si>
  <si>
    <t>Bush, Robert D.</t>
  </si>
  <si>
    <t>E333 -- .B875 2014eb</t>
  </si>
  <si>
    <t>973.46</t>
  </si>
  <si>
    <t>United States - Foreign relations - 1801-1809</t>
  </si>
  <si>
    <t>https://ebookcentral.proquest.com/lib/ungli/detail.action?docID=1480714</t>
  </si>
  <si>
    <t>John F. Kennedy</t>
  </si>
  <si>
    <t>Ling, Peter</t>
  </si>
  <si>
    <t>E842 .L55 2013</t>
  </si>
  <si>
    <t xml:space="preserve">Kennedy, John F. -- (John Fitzgerald), -- 1917-1963. </t>
  </si>
  <si>
    <t>The Ad-Makers : How the Best TV Commercials Are Produced</t>
  </si>
  <si>
    <t>von Logue Newth, Tom</t>
  </si>
  <si>
    <t>HF6146.T42 -- .N498 2013eb</t>
  </si>
  <si>
    <t>Television commercials.</t>
  </si>
  <si>
    <t>https://ebookcentral.proquest.com/lib/ungli/detail.action?docID=1524235</t>
  </si>
  <si>
    <t>Did British Capitalism Breed Inequality?</t>
  </si>
  <si>
    <t>Williamson, Jeffrey G.</t>
  </si>
  <si>
    <t>The Birth of Industrial Britain : 1750-1850</t>
  </si>
  <si>
    <t>Morgan, Kenneth</t>
  </si>
  <si>
    <t>The American Civil War, 1861-1865</t>
  </si>
  <si>
    <t>Mitchell, Reid</t>
  </si>
  <si>
    <t>E468 .M56 2013</t>
  </si>
  <si>
    <t>973.7</t>
  </si>
  <si>
    <t>United States - History - Civil War, 1861-1865</t>
  </si>
  <si>
    <t>https://ebookcentral.proquest.com/lib/ungli/detail.action?docID=1562532</t>
  </si>
  <si>
    <t>The Roman Empire Divided : 400-700 Ad</t>
  </si>
  <si>
    <t>Moorhead, John</t>
  </si>
  <si>
    <t>DG311 .M68 2013</t>
  </si>
  <si>
    <t>940.12</t>
  </si>
  <si>
    <t>Rome -- Relations -- Byzantine Empire</t>
  </si>
  <si>
    <t>https://ebookcentral.proquest.com/lib/ungli/detail.action?docID=1569847</t>
  </si>
  <si>
    <t>The Age of the Dictators : A Study of the European Dictatorships, 1918-53</t>
  </si>
  <si>
    <t>Williamson, D. G.</t>
  </si>
  <si>
    <t>World War II : An Encyclopedia of Quotations</t>
  </si>
  <si>
    <t>Langer, Howard J.</t>
  </si>
  <si>
    <t>D744 .W67 2013</t>
  </si>
  <si>
    <t>940.53/03</t>
  </si>
  <si>
    <t>Quotations, maxims, etc.</t>
  </si>
  <si>
    <t>https://ebookcentral.proquest.com/lib/ungli/detail.action?docID=1569858</t>
  </si>
  <si>
    <t>Sweet Land of Liberty? : The African-American Struggle for Civil Rights in the Twentieth Century</t>
  </si>
  <si>
    <t>Cook, Robert</t>
  </si>
  <si>
    <t>Encyclopedia of Warfare : From the Earliest Times to the Present Day</t>
  </si>
  <si>
    <t>Gilbert, Adrian</t>
  </si>
  <si>
    <t>Military Science</t>
  </si>
  <si>
    <t>Britain under Thatcher</t>
  </si>
  <si>
    <t>Seldon, Anthony</t>
  </si>
  <si>
    <t>The Baltic Nations and Europe : Estonia, Latvia and Lithuania in the Twentieth Century</t>
  </si>
  <si>
    <t>Hiden, John</t>
  </si>
  <si>
    <t>American Voices of World War I : Primary Source Documents, 1917-1920</t>
  </si>
  <si>
    <t>Marix Evans, Martin</t>
  </si>
  <si>
    <t>D570.9 .A57 2014</t>
  </si>
  <si>
    <t>940.4/8173</t>
  </si>
  <si>
    <t>World War, 1914-191 -- Campaigns -- Western Front -- Sources</t>
  </si>
  <si>
    <t>https://ebookcentral.proquest.com/lib/ungli/detail.action?docID=1603885</t>
  </si>
  <si>
    <t>Rebuilding Europe : Western Europe, America and Postwar Reconstruction</t>
  </si>
  <si>
    <t>Ellwood, David W.</t>
  </si>
  <si>
    <t>D825 .E45 2014</t>
  </si>
  <si>
    <t>940.55</t>
  </si>
  <si>
    <t>Europe - Politics and government - 1945-</t>
  </si>
  <si>
    <t>https://ebookcentral.proquest.com/lib/ungli/detail.action?docID=1619154</t>
  </si>
  <si>
    <t>Chronicles of the Crusades</t>
  </si>
  <si>
    <t>Bohm, Henry G.</t>
  </si>
  <si>
    <t>Herodotus and Greek History (Routledge Revivals)</t>
  </si>
  <si>
    <t>Hart, John</t>
  </si>
  <si>
    <t>D56.52.H45 H37 2014</t>
  </si>
  <si>
    <t>Greece -- Historiography</t>
  </si>
  <si>
    <t>https://ebookcentral.proquest.com/lib/ungli/detail.action?docID=1666999</t>
  </si>
  <si>
    <t>The Road</t>
  </si>
  <si>
    <t>Penhall, Joe</t>
  </si>
  <si>
    <t>A Short History of Iraq</t>
  </si>
  <si>
    <t>Abdullah, Thabit</t>
  </si>
  <si>
    <t>DS70.9 .A23 2014</t>
  </si>
  <si>
    <t>Iraq - Politics and government</t>
  </si>
  <si>
    <t>https://ebookcentral.proquest.com/lib/ungli/detail.action?docID=1688944</t>
  </si>
  <si>
    <t>Greek History: the Basics</t>
  </si>
  <si>
    <t>Osborne, Robin</t>
  </si>
  <si>
    <t>DF214 .O83 2014</t>
  </si>
  <si>
    <t xml:space="preserve">Greece -- History -- To 146 B.C. </t>
  </si>
  <si>
    <t>A History of the Roman World 753-146 BC</t>
  </si>
  <si>
    <t>DG231 .S35 2014</t>
  </si>
  <si>
    <t>937.02</t>
  </si>
  <si>
    <t xml:space="preserve">Rome -- History -- To 510 B.C. </t>
  </si>
  <si>
    <t>Austria, Prussia and the Making of Germany : 1806-1871</t>
  </si>
  <si>
    <t>Breuilly, John</t>
  </si>
  <si>
    <t>DD203 -- .B758 2014eb</t>
  </si>
  <si>
    <t>943/.07</t>
  </si>
  <si>
    <t xml:space="preserve">Germany -- History -- 1815-1866. </t>
  </si>
  <si>
    <t>China in Transformation : 1900-1949</t>
  </si>
  <si>
    <t>Mackerras, Colin</t>
  </si>
  <si>
    <t>DS761 -- .M335 2013eb</t>
  </si>
  <si>
    <t>951.04</t>
  </si>
  <si>
    <t>China -- History -- Republic, 1912-1949</t>
  </si>
  <si>
    <t>https://ebookcentral.proquest.com/lib/ungli/detail.action?docID=1710654</t>
  </si>
  <si>
    <t>Transforming New Technologies into Cash Flow : Creating Market-Focused Strategic Paths for Business-To-Business Companies</t>
  </si>
  <si>
    <t>Lichtenthal, J. David</t>
  </si>
  <si>
    <t>Invasion! : Operation Sea Lion 1940</t>
  </si>
  <si>
    <t>Evans, Martin Marix</t>
  </si>
  <si>
    <t>Modern Africa : A Social and Political History</t>
  </si>
  <si>
    <t>Davidson, Basil</t>
  </si>
  <si>
    <t>DT29 .D384 2014</t>
  </si>
  <si>
    <t>960.3</t>
  </si>
  <si>
    <t>Africa - History - 1884-1960</t>
  </si>
  <si>
    <t>https://ebookcentral.proquest.com/lib/ungli/detail.action?docID=1733996</t>
  </si>
  <si>
    <t>Britain Since 1707</t>
  </si>
  <si>
    <t>Fraser, Hamish</t>
  </si>
  <si>
    <t>The Second World War in Europe : Second Edition</t>
  </si>
  <si>
    <t>Mackenzie, S. P.</t>
  </si>
  <si>
    <t>D743 .M237 2014</t>
  </si>
  <si>
    <t xml:space="preserve">World War, 1939-1945 -- Europe. </t>
  </si>
  <si>
    <t>The Evolution of the Medieval World : Society, Government and Thought in Europe 312-1500</t>
  </si>
  <si>
    <t>Nicholas, David M.</t>
  </si>
  <si>
    <t>D117 .N5 2014</t>
  </si>
  <si>
    <t>Civilization, Medieval</t>
  </si>
  <si>
    <t>https://ebookcentral.proquest.com/lib/ungli/detail.action?docID=1743900</t>
  </si>
  <si>
    <t>Women, Families, and Feminist Politics : A Global Exploration</t>
  </si>
  <si>
    <t>Garner, J. Dianne</t>
  </si>
  <si>
    <t>The Reign of Mary I</t>
  </si>
  <si>
    <t>Tittler, Robert</t>
  </si>
  <si>
    <t>A Political History of Western Europe Since 1945</t>
  </si>
  <si>
    <t>Urwin, Derek W.</t>
  </si>
  <si>
    <t>D1051 .U785 2014</t>
  </si>
  <si>
    <t>Europe -- Politics and government -- 1945-</t>
  </si>
  <si>
    <t>https://ebookcentral.proquest.com/lib/ungli/detail.action?docID=1747325</t>
  </si>
  <si>
    <t>Europe's Barbarians AD 200-600</t>
  </si>
  <si>
    <t>James, Edward</t>
  </si>
  <si>
    <t>DG312 .J365 2014</t>
  </si>
  <si>
    <t>937/.004</t>
  </si>
  <si>
    <t>Rome - Civilization - Foreign influences</t>
  </si>
  <si>
    <t>https://ebookcentral.proquest.com/lib/ungli/detail.action?docID=1747342</t>
  </si>
  <si>
    <t>The Origins of the Korean War : Second Edition</t>
  </si>
  <si>
    <t>Lowe, Peter</t>
  </si>
  <si>
    <t>DS917.55 .C85 2014</t>
  </si>
  <si>
    <t>World politics - 1945-1955</t>
  </si>
  <si>
    <t>https://ebookcentral.proquest.com/lib/ungli/detail.action?docID=1756990</t>
  </si>
  <si>
    <t>Laura Ingalls Wilder : American Writer on the Prairie</t>
  </si>
  <si>
    <t>Ketcham, Sallie</t>
  </si>
  <si>
    <t>Literature</t>
  </si>
  <si>
    <t>PS3545.I342 Z73 2014</t>
  </si>
  <si>
    <t>813/.52 B</t>
  </si>
  <si>
    <t>LITERARY CRITICISM / Children's Literature</t>
  </si>
  <si>
    <t>https://ebookcentral.proquest.com/lib/ungli/detail.action?docID=1775321</t>
  </si>
  <si>
    <t>Ronald Reagan : Champion of Conservative America</t>
  </si>
  <si>
    <t>Broussard, James H.</t>
  </si>
  <si>
    <t>E877 .B76 2014</t>
  </si>
  <si>
    <t>Reagan, Ronald</t>
  </si>
  <si>
    <t>https://ebookcentral.proquest.com/lib/ungli/detail.action?docID=1775335</t>
  </si>
  <si>
    <t>The Origins of the Second World War in Europe</t>
  </si>
  <si>
    <t>Bell, P. M. H.</t>
  </si>
  <si>
    <t>D741 .B38 2014</t>
  </si>
  <si>
    <t>940.5/311</t>
  </si>
  <si>
    <t>World War, 1939-1945 -- Causes</t>
  </si>
  <si>
    <t>https://ebookcentral.proquest.com/lib/ungli/detail.action?docID=1782366</t>
  </si>
  <si>
    <t>A History of the Sudan : From the Coming of Islam to the Present Day</t>
  </si>
  <si>
    <t>Holt, P. M.</t>
  </si>
  <si>
    <t>Napoleonic Europe</t>
  </si>
  <si>
    <t>Emsley, Clive</t>
  </si>
  <si>
    <t>D308 .E48 2014</t>
  </si>
  <si>
    <t>940.27</t>
  </si>
  <si>
    <t>Europe - History - 1789-1815</t>
  </si>
  <si>
    <t>https://ebookcentral.proquest.com/lib/ungli/detail.action?docID=1791046</t>
  </si>
  <si>
    <t>American Fiction Since 1940</t>
  </si>
  <si>
    <t>Hilfer, Tony</t>
  </si>
  <si>
    <t>PS379 .H55 2014</t>
  </si>
  <si>
    <t>American fiction -- 20th century -- History and criticism</t>
  </si>
  <si>
    <t>https://ebookcentral.proquest.com/lib/ungli/detail.action?docID=1798380</t>
  </si>
  <si>
    <t>The Origins of the Modern European State System, 1494-1618</t>
  </si>
  <si>
    <t>Anderson, M. S.</t>
  </si>
  <si>
    <t>D231 .A53 2014</t>
  </si>
  <si>
    <t>940.2</t>
  </si>
  <si>
    <t xml:space="preserve">State, The -- Origin. </t>
  </si>
  <si>
    <t>The Longman Companion to European Nationalism 1789-1920</t>
  </si>
  <si>
    <t>Pearson, Raymond</t>
  </si>
  <si>
    <t>D359.7 .P43 2014</t>
  </si>
  <si>
    <t>Nationalism -- Europe -- History -- 19th century</t>
  </si>
  <si>
    <t>https://ebookcentral.proquest.com/lib/ungli/detail.action?docID=1798492</t>
  </si>
  <si>
    <t>Benjamin Franklin : American Founder, Atlantic Citizen</t>
  </si>
  <si>
    <t>Kozuskanich, Nathan R.</t>
  </si>
  <si>
    <t>E302.6.F8 K87 2014</t>
  </si>
  <si>
    <t>Scientists - United States</t>
  </si>
  <si>
    <t>https://ebookcentral.proquest.com/lib/ungli/detail.action?docID=1811012</t>
  </si>
  <si>
    <t>The Greeks : An Introduction to Their Culture</t>
  </si>
  <si>
    <t>Sowerby, Robin</t>
  </si>
  <si>
    <t>DF77 .S56 2014</t>
  </si>
  <si>
    <t>Greece - Civilization - To 146 B.C</t>
  </si>
  <si>
    <t>https://ebookcentral.proquest.com/lib/ungli/detail.action?docID=1864819</t>
  </si>
  <si>
    <t>Whose People? : Wales, Israel, Palestine</t>
  </si>
  <si>
    <t>Donahaye, Jasmine</t>
  </si>
  <si>
    <t>DS119.8.W3</t>
  </si>
  <si>
    <t xml:space="preserve">Israel -- Foreign relations -- Wales. </t>
  </si>
  <si>
    <t>The Soviet Colossus : History and Aftermath</t>
  </si>
  <si>
    <t>Kort, Michael G.</t>
  </si>
  <si>
    <t>DK246 -- .K64 2015eb</t>
  </si>
  <si>
    <t xml:space="preserve">Soviet Union -- History. </t>
  </si>
  <si>
    <t>South Asia in the World: an Introduction : An Introduction</t>
  </si>
  <si>
    <t>Wadley, Susan S.</t>
  </si>
  <si>
    <t>DS340 -- .S664 2015eb</t>
  </si>
  <si>
    <t>South Asia -- Social conditions</t>
  </si>
  <si>
    <t>https://ebookcentral.proquest.com/lib/ungli/detail.action?docID=1899987</t>
  </si>
  <si>
    <t>Modern East Asia: an Introductory History : An Introductory History</t>
  </si>
  <si>
    <t>Miller, John</t>
  </si>
  <si>
    <t>DS511 -- .M53 2015eb</t>
  </si>
  <si>
    <t>950.3</t>
  </si>
  <si>
    <t>East Asia -- History</t>
  </si>
  <si>
    <t>https://ebookcentral.proquest.com/lib/ungli/detail.action?docID=1900002</t>
  </si>
  <si>
    <t>Mary Lincoln : Southern Girl, Northern Woman</t>
  </si>
  <si>
    <t>McDermott, Stacy Pratt</t>
  </si>
  <si>
    <t>E457.25.L55 -- .M385 2015eb</t>
  </si>
  <si>
    <t>973.7092 B</t>
  </si>
  <si>
    <t>Lincoln, Abraham - Family</t>
  </si>
  <si>
    <t>https://ebookcentral.proquest.com/lib/ungli/detail.action?docID=1924479</t>
  </si>
  <si>
    <t>The Irish Experience since 1800: a Concise History : A Concise History</t>
  </si>
  <si>
    <t>Hachey, Thomas E.</t>
  </si>
  <si>
    <t>Interest Group Politics in America</t>
  </si>
  <si>
    <t>Hrebenar, Ronald J.</t>
  </si>
  <si>
    <t>The American Century : A History of the United States since The 1890s</t>
  </si>
  <si>
    <t>LaFeber, Walter</t>
  </si>
  <si>
    <t>Martin Luther King, Jr</t>
  </si>
  <si>
    <t>The Underground Railroad : An Encyclopedia of People, Places, and Operations</t>
  </si>
  <si>
    <t>Snodgrass, Mary Ellen</t>
  </si>
  <si>
    <t>E450 -- .S65 2015eb</t>
  </si>
  <si>
    <t>973.7/115</t>
  </si>
  <si>
    <t>Fugitive slaves - United States - History</t>
  </si>
  <si>
    <t>https://ebookcentral.proquest.com/lib/ungli/detail.action?docID=2005317</t>
  </si>
  <si>
    <t>Encyclopedia of the Jazz Age: from the End of World War I to the Great Crash : From the End of World War I to the Great Crash</t>
  </si>
  <si>
    <t>Ciment, James</t>
  </si>
  <si>
    <t>Advertising Campaign Design : Just the Essentials</t>
  </si>
  <si>
    <t>Blakeman, Robyn</t>
  </si>
  <si>
    <t>HF5837 -- .B53 2015eb</t>
  </si>
  <si>
    <t>Advertising campaigns.</t>
  </si>
  <si>
    <t>https://ebookcentral.proquest.com/lib/ungli/detail.action?docID=2027529</t>
  </si>
  <si>
    <t>A Chronology of the Crusades</t>
  </si>
  <si>
    <t>Venning, Timothy</t>
  </si>
  <si>
    <t>African Voices of the Global Past : 1500 to the Present</t>
  </si>
  <si>
    <t>R. Getz, Trevor</t>
  </si>
  <si>
    <t>DT26 -- .A47 2014eb</t>
  </si>
  <si>
    <t xml:space="preserve">History, Modern. </t>
  </si>
  <si>
    <t>Jane Austen's Cults and Cultures</t>
  </si>
  <si>
    <t>Johnson, Claudia L.</t>
  </si>
  <si>
    <t>PR4036</t>
  </si>
  <si>
    <t>823/.7</t>
  </si>
  <si>
    <t>Women authors, English -- 19th century</t>
  </si>
  <si>
    <t>https://ebookcentral.proquest.com/lib/ungli/detail.action?docID=3038324</t>
  </si>
  <si>
    <t>British Prime Ministers from Balfour to Brown</t>
  </si>
  <si>
    <t>Pearce, Robert</t>
  </si>
  <si>
    <t>A Press Divided : Newspaper Coverage of the Civil War</t>
  </si>
  <si>
    <t>Sachsman, David B.</t>
  </si>
  <si>
    <t>E609 -- .P74 2014eb</t>
  </si>
  <si>
    <t>Journalism -- United States -- History -- 19th century</t>
  </si>
  <si>
    <t>https://ebookcentral.proquest.com/lib/ungli/detail.action?docID=3411360</t>
  </si>
  <si>
    <t>Miseducating Americans : Distortions of Historical Understanding</t>
  </si>
  <si>
    <t>Hamilton, Richard F.</t>
  </si>
  <si>
    <t>E179 -- .H217 2015eb</t>
  </si>
  <si>
    <t>United States - History - Textbooks - Evaluation</t>
  </si>
  <si>
    <t>https://ebookcentral.proquest.com/lib/ungli/detail.action?docID=3411382</t>
  </si>
  <si>
    <t>Book of Abstracts of the 64th Annual Meeting of the European Association for Animal Production : Nantes, France, 26 - 30 August 2013</t>
  </si>
  <si>
    <t>Committee, Scientific</t>
  </si>
  <si>
    <t>Agriculture</t>
  </si>
  <si>
    <t>S494.5.I5 -- W34 2013eb</t>
  </si>
  <si>
    <t xml:space="preserve">Agricultural innovations. </t>
  </si>
  <si>
    <t>Precision agriculture '15</t>
  </si>
  <si>
    <t>Stafford, John V.</t>
  </si>
  <si>
    <t>S494.5.P73 -- .E976 2015eb</t>
  </si>
  <si>
    <t>Precision farming -- Congresses.</t>
  </si>
  <si>
    <t>https://ebookcentral.proquest.com/lib/ungli/detail.action?docID=3445621</t>
  </si>
  <si>
    <t>East Asia in the World : An Introduction</t>
  </si>
  <si>
    <t>Prescott, Anne</t>
  </si>
  <si>
    <t>DS504.5 -- .E278 2015eb</t>
  </si>
  <si>
    <t xml:space="preserve">Globalization -- East Asia. </t>
  </si>
  <si>
    <t>The American Century : A History of the United States since 1941: Volume 2</t>
  </si>
  <si>
    <t>A Monetary Theory of Employment</t>
  </si>
  <si>
    <t>Means, Gardiner C.</t>
  </si>
  <si>
    <t>Mao's Road to Power : Revolutionary Writings: Volume VIII</t>
  </si>
  <si>
    <t>Schram, Stuart</t>
  </si>
  <si>
    <t>Portraits of Old Russia : Imagined Lives of Ordinary People, 1300-1745</t>
  </si>
  <si>
    <t>Ostrowski, Donald</t>
  </si>
  <si>
    <t>Quality of fish from catch to consumer : Labelling, modelling and traceability</t>
  </si>
  <si>
    <t>Luten, J.B.</t>
  </si>
  <si>
    <t>Capitalism: the Basics</t>
  </si>
  <si>
    <t>Coates, David</t>
  </si>
  <si>
    <t>Frederick the Great : A Military Life</t>
  </si>
  <si>
    <t>Duffy, Christopher</t>
  </si>
  <si>
    <t>DD404.D844 2016</t>
  </si>
  <si>
    <t>943/.053/0924</t>
  </si>
  <si>
    <t>https://ebookcentral.proquest.com/lib/ungli/detail.action?docID=4014765</t>
  </si>
  <si>
    <t>The Huns</t>
  </si>
  <si>
    <t>Kim, Hyun Jin</t>
  </si>
  <si>
    <t>D141</t>
  </si>
  <si>
    <t>939/.6</t>
  </si>
  <si>
    <t>https://ebookcentral.proquest.com/lib/ungli/detail.action?docID=4098161</t>
  </si>
  <si>
    <t>Origins of the Cold War 1941-1949</t>
  </si>
  <si>
    <t>McCauley, Martin</t>
  </si>
  <si>
    <t>33 Day War : Israel's War on Hezbollah in Lebanon and Its Consequences</t>
  </si>
  <si>
    <t>Achcar, Gilbert</t>
  </si>
  <si>
    <t>Diversity in America</t>
  </si>
  <si>
    <t>Parrillo, Vincent N.</t>
  </si>
  <si>
    <t>Thatcher</t>
  </si>
  <si>
    <t>Goodlad, Graham</t>
  </si>
  <si>
    <t>DA591.T47G66 2016</t>
  </si>
  <si>
    <t>Great Britain--Politics and government--1979-1997.</t>
  </si>
  <si>
    <t>https://ebookcentral.proquest.com/lib/ungli/detail.action?docID=4218084</t>
  </si>
  <si>
    <t>The Age of Agade : Inventing Empire in Ancient Mesopotamia</t>
  </si>
  <si>
    <t>Foster, Benjamin R.</t>
  </si>
  <si>
    <t>DS72.3.F67 2015</t>
  </si>
  <si>
    <t>935/.01</t>
  </si>
  <si>
    <t>Iraq--History--To 634.</t>
  </si>
  <si>
    <t>https://ebookcentral.proquest.com/lib/ungli/detail.action?docID=4218326</t>
  </si>
  <si>
    <t>Careers and Talent Management : A Critical Perspective</t>
  </si>
  <si>
    <t>Reis, Cristina</t>
  </si>
  <si>
    <t>HF5381</t>
  </si>
  <si>
    <t>658.3</t>
  </si>
  <si>
    <t>Career development.</t>
  </si>
  <si>
    <t>https://ebookcentral.proquest.com/lib/ungli/detail.action?docID=4218777</t>
  </si>
  <si>
    <t>Dateline Havana : The Real Story of Us Policy and the Future of Cuba</t>
  </si>
  <si>
    <t>Erlich, Reese</t>
  </si>
  <si>
    <t>Management Accounting for Beginners</t>
  </si>
  <si>
    <t>Apostolides, Nicholas</t>
  </si>
  <si>
    <t>HF5657.4.A66 2016</t>
  </si>
  <si>
    <t>Managerial accounting</t>
  </si>
  <si>
    <t>https://ebookcentral.proquest.com/lib/ungli/detail.action?docID=4335104</t>
  </si>
  <si>
    <t>The Global 1920s : Politics, Economics and Society</t>
  </si>
  <si>
    <t>Carr, Richard</t>
  </si>
  <si>
    <t>Queen Victoria</t>
  </si>
  <si>
    <t>Bartley, Paula</t>
  </si>
  <si>
    <t>DA554 -- .B378 2016eb</t>
  </si>
  <si>
    <t>941.081092 B</t>
  </si>
  <si>
    <t>Great Britain--History--Victoria, 1837-1901.</t>
  </si>
  <si>
    <t>https://ebookcentral.proquest.com/lib/ungli/detail.action?docID=4391957</t>
  </si>
  <si>
    <t>The WPA : Creating Jobs and Hope in the Great Depression</t>
  </si>
  <si>
    <t>Opdycke, Sandra</t>
  </si>
  <si>
    <t>China Since 1949</t>
  </si>
  <si>
    <t>Benson, Linda</t>
  </si>
  <si>
    <t>DS777.55 -- .B467 2016eb</t>
  </si>
  <si>
    <t>China - History - 1949-</t>
  </si>
  <si>
    <t>https://ebookcentral.proquest.com/lib/ungli/detail.action?docID=4513415</t>
  </si>
  <si>
    <t>Atlas of the Ancient near East : From Prehistoric Times to the Roman Imperial Period</t>
  </si>
  <si>
    <t>Bryce, Trevor</t>
  </si>
  <si>
    <t>Sojourner Truth : Prophet of Social Justice</t>
  </si>
  <si>
    <t>Richman, Isabelle Kinnard</t>
  </si>
  <si>
    <t>E185.97.T8.R534 2016</t>
  </si>
  <si>
    <t>African Americans--Biography.</t>
  </si>
  <si>
    <t>https://ebookcentral.proquest.com/lib/ungli/detail.action?docID=4516533</t>
  </si>
  <si>
    <t>Tragedy and Dramatic Theatre</t>
  </si>
  <si>
    <t>Lehmann, Hans-Thies</t>
  </si>
  <si>
    <t>Russia's Long Twentieth Century : Voices, Memories, Contested Perspectives</t>
  </si>
  <si>
    <t>Chatterjee, Choi</t>
  </si>
  <si>
    <t>The Battle of Fort Sumter : The First Shots of the American Civil War</t>
  </si>
  <si>
    <t>Moody, Wesley</t>
  </si>
  <si>
    <t>E471.1.M663 2016</t>
  </si>
  <si>
    <t>973.7/31</t>
  </si>
  <si>
    <t>Charleston (S.C.) - History - Civil War, 1861-1865</t>
  </si>
  <si>
    <t>https://ebookcentral.proquest.com/lib/ungli/detail.action?docID=4542699</t>
  </si>
  <si>
    <t>An Introduction to International Relations</t>
  </si>
  <si>
    <t>Reynolds, Philip Alan</t>
  </si>
  <si>
    <t>JX1395 -- .R496 1994eb</t>
  </si>
  <si>
    <t>International relations.</t>
  </si>
  <si>
    <t>https://ebookcentral.proquest.com/lib/ungli/detail.action?docID=4578730</t>
  </si>
  <si>
    <t>Ancient Peoples of the Great Basin and Colorado Plateau</t>
  </si>
  <si>
    <t>Simms, Steven R.</t>
  </si>
  <si>
    <t>E78.G67S54 2008</t>
  </si>
  <si>
    <t>978.004/97</t>
  </si>
  <si>
    <t>Colorado Plateau - Environmental conditions - History</t>
  </si>
  <si>
    <t>https://ebookcentral.proquest.com/lib/ungli/detail.action?docID=4578743</t>
  </si>
  <si>
    <t>The American Revolution : New Nation As New Empire</t>
  </si>
  <si>
    <t>York, Neil L.</t>
  </si>
  <si>
    <t>E208 -- .Y675 2016eb</t>
  </si>
  <si>
    <t>973.3</t>
  </si>
  <si>
    <t>United States - History - Confederation, 1783-1789</t>
  </si>
  <si>
    <t>https://ebookcentral.proquest.com/lib/ungli/detail.action?docID=4595355</t>
  </si>
  <si>
    <t>Understanding Greek Tragic Theatre</t>
  </si>
  <si>
    <t>Rehm, Rush</t>
  </si>
  <si>
    <t>PA3131 -- .R446 2017eb</t>
  </si>
  <si>
    <t>882/.010916</t>
  </si>
  <si>
    <t>Political plays, Greek - History and criticism</t>
  </si>
  <si>
    <t>https://ebookcentral.proquest.com/lib/ungli/detail.action?docID=4595356</t>
  </si>
  <si>
    <t>Ida B. Wells : Social Activist and Reformer</t>
  </si>
  <si>
    <t>DuRocher, Kristina</t>
  </si>
  <si>
    <t>Don Quijote</t>
  </si>
  <si>
    <t>Saavedra, Miguel de Cervantes</t>
  </si>
  <si>
    <t>Fiction</t>
  </si>
  <si>
    <t>Spanish</t>
  </si>
  <si>
    <t>Food futures: ethics, science and culture</t>
  </si>
  <si>
    <t>Olsson, I. Anna S.</t>
  </si>
  <si>
    <t>Caribbean History : From Pre-Colonial Origins to the Present</t>
  </si>
  <si>
    <t>Martin, Toni</t>
  </si>
  <si>
    <t>F2175.M378 2016</t>
  </si>
  <si>
    <t>972.9</t>
  </si>
  <si>
    <t>Caribbean Area - History</t>
  </si>
  <si>
    <t>https://ebookcentral.proquest.com/lib/ungli/detail.action?docID=4684187</t>
  </si>
  <si>
    <t>A History of the Holocaust : From Ideology to Annihilation</t>
  </si>
  <si>
    <t>Botwinick, Rita Steinhardt</t>
  </si>
  <si>
    <t>D804.3.B689 2016</t>
  </si>
  <si>
    <t>940.53/18</t>
  </si>
  <si>
    <t>Holocaust, Jewish (1939-1945)</t>
  </si>
  <si>
    <t>https://ebookcentral.proquest.com/lib/ungli/detail.action?docID=4692086</t>
  </si>
  <si>
    <t>The Invisible Sex : Uncovering the True Roles of Women in Prehistory</t>
  </si>
  <si>
    <t>Adovasio, J. M.</t>
  </si>
  <si>
    <t>The Adventures of Tom Sawyer</t>
  </si>
  <si>
    <t>Twain, Mark.</t>
  </si>
  <si>
    <t>Everydata : The Misinformation Hidden in the Little Data You Consume Every Day</t>
  </si>
  <si>
    <t>Johnson, John H.</t>
  </si>
  <si>
    <t>Home Economics</t>
  </si>
  <si>
    <t>Resilient Cultures : America's Native Peoples Confront European Colonialization 1500-1800</t>
  </si>
  <si>
    <t>Kicza, John</t>
  </si>
  <si>
    <t>A History of India</t>
  </si>
  <si>
    <t>Kulke, Hermann</t>
  </si>
  <si>
    <t>Human Evolution Source Book</t>
  </si>
  <si>
    <t>Ciochon, Russell L.</t>
  </si>
  <si>
    <t>International Trade : The Basics</t>
  </si>
  <si>
    <t>Poon, Jessie</t>
  </si>
  <si>
    <t>Gyeongju : The Capital of Golden Silla</t>
  </si>
  <si>
    <t>Nelson, Sarah Milledge</t>
  </si>
  <si>
    <t>DS925.K9.N45 2016</t>
  </si>
  <si>
    <t>City and town life--Korea (South)--Kyæongju-si--History--To 1500.</t>
  </si>
  <si>
    <t>https://ebookcentral.proquest.com/lib/ungli/detail.action?docID=4809709</t>
  </si>
  <si>
    <t>Revolutionary Europe 1780-1850</t>
  </si>
  <si>
    <t>Sperber, Jonathan</t>
  </si>
  <si>
    <t>D299.S64 2017</t>
  </si>
  <si>
    <t>940.28</t>
  </si>
  <si>
    <t>Revolutions</t>
  </si>
  <si>
    <t>https://ebookcentral.proquest.com/lib/ungli/detail.action?docID=4845355</t>
  </si>
  <si>
    <t>Gender and Successful Human Resource Decisions in Small Businesses</t>
  </si>
  <si>
    <t>Good, Deborah Cain</t>
  </si>
  <si>
    <t>HF5549.G663 2017</t>
  </si>
  <si>
    <t>Small business--Personnel management.</t>
  </si>
  <si>
    <t>https://ebookcentral.proquest.com/lib/ungli/detail.action?docID=4865756</t>
  </si>
  <si>
    <t>The Rise and Fall of Corporate Social Responsibility</t>
  </si>
  <si>
    <t>Eichar, Douglas M.</t>
  </si>
  <si>
    <t>Philosophy</t>
  </si>
  <si>
    <t>Sasha Pechersky : Holocaust Hero, Sobibor Resistance Leader, and Hostage of History</t>
  </si>
  <si>
    <t>Leydesdorff, Selma</t>
  </si>
  <si>
    <t>D805.5.S64.L493 2017</t>
  </si>
  <si>
    <t>940.53/18092 B</t>
  </si>
  <si>
    <t>World War, 1939-1945--Jewish resistance--Poland--Sobibâor</t>
  </si>
  <si>
    <t>https://ebookcentral.proquest.com/lib/ungli/detail.action?docID=4898763</t>
  </si>
  <si>
    <t>The Political Principles of Robert A. Taft</t>
  </si>
  <si>
    <t>Kirk, Russell</t>
  </si>
  <si>
    <t>Pretexts : Reflections on Literature and Morality</t>
  </si>
  <si>
    <t>Gide, André</t>
  </si>
  <si>
    <t>PQ2613.I2.G534 2017</t>
  </si>
  <si>
    <t>Gide, Andre - Translations into English</t>
  </si>
  <si>
    <t>https://ebookcentral.proquest.com/lib/ungli/detail.action?docID=4905783</t>
  </si>
  <si>
    <t>Nothing Abides : Perspectives on the Middle East and Islam</t>
  </si>
  <si>
    <t>Pipes, Daniel</t>
  </si>
  <si>
    <t>DS63.1.P574 2017</t>
  </si>
  <si>
    <t>956.05</t>
  </si>
  <si>
    <t>Middle East - Politics and government - 21st century</t>
  </si>
  <si>
    <t>https://ebookcentral.proquest.com/lib/ungli/detail.action?docID=4906286</t>
  </si>
  <si>
    <t>Kings and Desperate Men : Life in Eighteenth-Century England</t>
  </si>
  <si>
    <t>Kronenberger, Louis</t>
  </si>
  <si>
    <t>942.07</t>
  </si>
  <si>
    <t>Great Britain - Politics and government -</t>
  </si>
  <si>
    <t>https://ebookcentral.proquest.com/lib/ungli/detail.action?docID=4906298</t>
  </si>
  <si>
    <t>Black Reconstruction in America : Toward a History of the Part Which Black Folk Played in the Attempt to Reconstruct Democracy in America, 1860-1880</t>
  </si>
  <si>
    <t>Du Bois, W. E. B.</t>
  </si>
  <si>
    <t>E668.D8 2017</t>
  </si>
  <si>
    <t>973.8</t>
  </si>
  <si>
    <t>African Americans - Employment - History - 19th century</t>
  </si>
  <si>
    <t>https://ebookcentral.proquest.com/lib/ungli/detail.action?docID=4925469</t>
  </si>
  <si>
    <t>Crucible of a Generation : How the Attack on Pearl Harbor Transformed America</t>
  </si>
  <si>
    <t>Brody, J. Kenneth</t>
  </si>
  <si>
    <t>D767.92.B763 2018</t>
  </si>
  <si>
    <t>Pearl Harbor (Hawaii), Attack on, 1941--Influence</t>
  </si>
  <si>
    <t>https://ebookcentral.proquest.com/lib/ungli/detail.action?docID=4941612</t>
  </si>
  <si>
    <t>Hatred, Lies, and Violence in the World of Islam</t>
  </si>
  <si>
    <t>Israeli, Raphael</t>
  </si>
  <si>
    <t>Jews, Antisemitism, and the Middle East</t>
  </si>
  <si>
    <t>Curtis, Michael</t>
  </si>
  <si>
    <t>God Laughed : Sources of Jewish Humor</t>
  </si>
  <si>
    <t>Friedman, Hershey H.</t>
  </si>
  <si>
    <t>PN6231.J5.F75 2017</t>
  </si>
  <si>
    <t>809.7/935203924</t>
  </si>
  <si>
    <t>Jewish wit and humor--History and criticism</t>
  </si>
  <si>
    <t>https://ebookcentral.proquest.com/lib/ungli/detail.action?docID=5042561</t>
  </si>
  <si>
    <t>The Marble Faun</t>
  </si>
  <si>
    <t>Hawthorne, Nathaniel.</t>
  </si>
  <si>
    <t>The American Civil War</t>
  </si>
  <si>
    <t>Rafuse, Ethan S.</t>
  </si>
  <si>
    <t>E470 .A44 2018</t>
  </si>
  <si>
    <t>United States-History-Civil War, 1861-1865-Campaigns</t>
  </si>
  <si>
    <t>https://ebookcentral.proquest.com/lib/ungli/detail.action?docID=5164146</t>
  </si>
  <si>
    <t>Sustainability Science : Key Issues</t>
  </si>
  <si>
    <t>König, Ariane</t>
  </si>
  <si>
    <t>Aftermath : Legacies and Memories of War in Europe, 1918-1945-1989</t>
  </si>
  <si>
    <t>Haughton, Tim</t>
  </si>
  <si>
    <t>Southeast Asia : Past and Present</t>
  </si>
  <si>
    <t>SarDesai, D. R.</t>
  </si>
  <si>
    <t>DS525.S27 2013</t>
  </si>
  <si>
    <t>Southeast Asia - History</t>
  </si>
  <si>
    <t>https://ebookcentral.proquest.com/lib/ungli/detail.action?docID=5254476</t>
  </si>
  <si>
    <t>The Mexicans : A Sense of Culture</t>
  </si>
  <si>
    <t>Merrell, Floyd.</t>
  </si>
  <si>
    <t>F1210 .M477 2018</t>
  </si>
  <si>
    <t>National characteristics, Mexican</t>
  </si>
  <si>
    <t>https://ebookcentral.proquest.com/lib/ungli/detail.action?docID=5295106</t>
  </si>
  <si>
    <t>Modern Japan : A Historical Survey</t>
  </si>
  <si>
    <t>Hane, Mikiso</t>
  </si>
  <si>
    <t>DS881 .H364 2018</t>
  </si>
  <si>
    <t>952/.025</t>
  </si>
  <si>
    <t>Japan-History-19th century</t>
  </si>
  <si>
    <t>https://ebookcentral.proquest.com/lib/ungli/detail.action?docID=5323455</t>
  </si>
  <si>
    <t>The United States : An Experiment in Democracy</t>
  </si>
  <si>
    <t>Becker, Carl</t>
  </si>
  <si>
    <t>JK271 .B435 2017</t>
  </si>
  <si>
    <t xml:space="preserve">Democracy-United States. </t>
  </si>
  <si>
    <t>Premodern Japan : A Historical Survey</t>
  </si>
  <si>
    <t>DS850 .H36 2018</t>
  </si>
  <si>
    <t>Japan-History-To 1868</t>
  </si>
  <si>
    <t>https://ebookcentral.proquest.com/lib/ungli/detail.action?docID=5351937</t>
  </si>
  <si>
    <t>New Deal Days: 1933-1934</t>
  </si>
  <si>
    <t>Ginzberg, Eli</t>
  </si>
  <si>
    <t>Pacific Century : The Emergence of Modern Pacific Asia</t>
  </si>
  <si>
    <t>Borthwick, Mark</t>
  </si>
  <si>
    <t>DS518.1 .B64 2018</t>
  </si>
  <si>
    <t>950.4</t>
  </si>
  <si>
    <t xml:space="preserve">East Asia-Politics and government-1945- </t>
  </si>
  <si>
    <t>Revival: History of the Conquest of Mexico (1886) : With a Preliminary View of the Ancient Mexican Civilisation and the Life of the Conqueror, Hernando Cortes</t>
  </si>
  <si>
    <t>Prescott, William</t>
  </si>
  <si>
    <t>Keen's Latin American Civilization, Volume 2 : A Primary Source Reader, Volume Two: the Modern Era</t>
  </si>
  <si>
    <t>Buffington, Robert M.</t>
  </si>
  <si>
    <t>F1408.3 .K446 2018</t>
  </si>
  <si>
    <t xml:space="preserve">Latin America-Civilization. </t>
  </si>
  <si>
    <t>Modern Japan, Student Economy Edition : A Historical Survey</t>
  </si>
  <si>
    <t>DS881 .M634 2018</t>
  </si>
  <si>
    <t>952.05</t>
  </si>
  <si>
    <t>https://ebookcentral.proquest.com/lib/ungli/detail.action?docID=5372119</t>
  </si>
  <si>
    <t>Africa: War and Conflict in the Twentieth Century</t>
  </si>
  <si>
    <t>Stapleton, Timothy</t>
  </si>
  <si>
    <t>Rose et Vert-Pomme : Œuvres anthumes</t>
  </si>
  <si>
    <t>Allais, Alphonse</t>
  </si>
  <si>
    <t>French</t>
  </si>
  <si>
    <t>https://ebookcentral.proquest.com/lib/ungli/detail.action?docID=5409424</t>
  </si>
  <si>
    <t>Le Neveu de Rameau</t>
  </si>
  <si>
    <t>Diderot, Denis</t>
  </si>
  <si>
    <t>La Petite Roque</t>
  </si>
  <si>
    <t>de Maupassant, Guy</t>
  </si>
  <si>
    <t>https://ebookcentral.proquest.com/lib/ungli/detail.action?docID=5410932</t>
  </si>
  <si>
    <t>Les Dieux en exil</t>
  </si>
  <si>
    <t>Heine, Heinrich</t>
  </si>
  <si>
    <t>https://ebookcentral.proquest.com/lib/ungli/detail.action?docID=5414880</t>
  </si>
  <si>
    <t>La Daniela</t>
  </si>
  <si>
    <t>Sand, George</t>
  </si>
  <si>
    <t>https://ebookcentral.proquest.com/lib/ungli/detail.action?docID=5415955</t>
  </si>
  <si>
    <t>Pour cause de fin de bail : Œuvres anthumes</t>
  </si>
  <si>
    <t>https://ebookcentral.proquest.com/lib/ungli/detail.action?docID=5420393</t>
  </si>
  <si>
    <t>La Bièvre, les Gobelins, Saint-Séverin</t>
  </si>
  <si>
    <t>Huysmans, Joris-Karl</t>
  </si>
  <si>
    <t>Southeast Asia, Student Economy Edition : Past and Present</t>
  </si>
  <si>
    <t>DS525 .S273 2018</t>
  </si>
  <si>
    <t>Southeast Asia-History.</t>
  </si>
  <si>
    <t>https://ebookcentral.proquest.com/lib/ungli/detail.action?docID=5433141</t>
  </si>
  <si>
    <t>The World and a Very Small Place in Africa : A History of Globalization in Niumi, the Gambia</t>
  </si>
  <si>
    <t>Wright, Donald R.</t>
  </si>
  <si>
    <t>DT532.23 .W75 2018</t>
  </si>
  <si>
    <t>966.3</t>
  </si>
  <si>
    <t>Niumi (Kingdom)-Social conditions</t>
  </si>
  <si>
    <t>https://ebookcentral.proquest.com/lib/ungli/detail.action?docID=5437097</t>
  </si>
  <si>
    <t>Little Women</t>
  </si>
  <si>
    <t>Alcott, Louisa May</t>
  </si>
  <si>
    <t>The Routledge Companion to Jewish History and Historiography</t>
  </si>
  <si>
    <t>Bell, Dean Phillip</t>
  </si>
  <si>
    <t>The Origin of Early Israel-Current Debate : Biblical, Historical and Archaeological Perspectives</t>
  </si>
  <si>
    <t>Ahituv, Shmuel</t>
  </si>
  <si>
    <t>Communication in Organizations : Basic Skills and Conversation Models</t>
  </si>
  <si>
    <t>Van der Molen, Henk T.</t>
  </si>
  <si>
    <t>Mrs Dalloway</t>
  </si>
  <si>
    <t>Coase, Hal</t>
  </si>
  <si>
    <t>On Declaring Love : Eighteenth-Century Literature and Jane Austen</t>
  </si>
  <si>
    <t>Parker, Fred</t>
  </si>
  <si>
    <t>PR447 .P375 2019</t>
  </si>
  <si>
    <t xml:space="preserve">English literature-18th century-History and criticism. </t>
  </si>
  <si>
    <t>Quality Beyond Borders : Dantotsu or How to Achieve Best in Business</t>
  </si>
  <si>
    <t>Hutchins, David</t>
  </si>
  <si>
    <t>HD62.15 .H883 2019</t>
  </si>
  <si>
    <t xml:space="preserve">Total quality management. </t>
  </si>
  <si>
    <t>Woolf, Virginia</t>
  </si>
  <si>
    <t>The Woman in White</t>
  </si>
  <si>
    <t>Collins, Wilkie</t>
  </si>
  <si>
    <t>Old Mortality</t>
  </si>
  <si>
    <t>Scott, Walter</t>
  </si>
  <si>
    <t>The Scarlet Pimpernel</t>
  </si>
  <si>
    <t>Orczy, Emma</t>
  </si>
  <si>
    <t>Agnes Grey</t>
  </si>
  <si>
    <t>Brontë, Anne</t>
  </si>
  <si>
    <t>The Great Gatsby</t>
  </si>
  <si>
    <t>Fitzgerald, F. Scott</t>
  </si>
  <si>
    <t>1979 : The Year That Shaped the Modern Middle East</t>
  </si>
  <si>
    <t>Lesch, David W.</t>
  </si>
  <si>
    <t>DS318.8 .L473 2018</t>
  </si>
  <si>
    <t>Iran-History-Revolution, 1979.</t>
  </si>
  <si>
    <t>https://ebookcentral.proquest.com/lib/ungli/detail.action?docID=5778309</t>
  </si>
  <si>
    <t>The European Union and Turkey : An Anchor/Credibility Dilemma</t>
  </si>
  <si>
    <t>Ugur, Mehmet</t>
  </si>
  <si>
    <t>Two on a Tower</t>
  </si>
  <si>
    <t>Hardy, Thomas</t>
  </si>
  <si>
    <t>The Stakes : Univ of Md Edition</t>
  </si>
  <si>
    <t>Telhami, Shibley</t>
  </si>
  <si>
    <t>Torn from the Nest</t>
  </si>
  <si>
    <t>Matto de Turner, Clorinda.</t>
  </si>
  <si>
    <t>The Beautiful and Damned</t>
  </si>
  <si>
    <t>The History of the Sudan : From the Coming of Islam to the Present Day</t>
  </si>
  <si>
    <t>The United States and Saudi Arabia : Ambivalent Allies</t>
  </si>
  <si>
    <t>Long, David E.</t>
  </si>
  <si>
    <t>South Africa into The 1980s</t>
  </si>
  <si>
    <t>Bissell, Richard E.</t>
  </si>
  <si>
    <t>The Saudi-Egyptian Conflict over North Yemen, 1962-1970</t>
  </si>
  <si>
    <t>Badeeb, Saeed M.</t>
  </si>
  <si>
    <t>What Maisie Knew</t>
  </si>
  <si>
    <t>James, Henry.</t>
  </si>
  <si>
    <t>A Connecticut Yankee in King Arthur's Court</t>
  </si>
  <si>
    <t>Twain, Mark</t>
  </si>
  <si>
    <t>The Last of the Mohicans</t>
  </si>
  <si>
    <t>Cooper, James Fenimore</t>
  </si>
  <si>
    <t>Gorbachev and the Soviet Future</t>
  </si>
  <si>
    <t>Lerner, Lawrence W.</t>
  </si>
  <si>
    <t>DK288 .G673 2018</t>
  </si>
  <si>
    <t xml:space="preserve">Soviet Union-Politics and government-1985-1991. </t>
  </si>
  <si>
    <t>A Cultural Geography of North American Indians</t>
  </si>
  <si>
    <t>Ross, Thomas E.</t>
  </si>
  <si>
    <t>E98.L3 .C858 2018</t>
  </si>
  <si>
    <t>973/.0497</t>
  </si>
  <si>
    <t>Indians of North America-Land tenure</t>
  </si>
  <si>
    <t>https://ebookcentral.proquest.com/lib/ungli/detail.action?docID=5829509</t>
  </si>
  <si>
    <t>Afghan Resistance : The Politics of Surivival</t>
  </si>
  <si>
    <t>Farr, Grant M.</t>
  </si>
  <si>
    <t>DS371.2 .A344 2018</t>
  </si>
  <si>
    <t>958/.1044</t>
  </si>
  <si>
    <t>Refugees-Afghanistan</t>
  </si>
  <si>
    <t>https://ebookcentral.proquest.com/lib/ungli/detail.action?docID=5829518</t>
  </si>
  <si>
    <t>Cameroon : Dependence and Independence</t>
  </si>
  <si>
    <t>DeLancey, Mark W.</t>
  </si>
  <si>
    <t>DT564 .D453 2018</t>
  </si>
  <si>
    <t>967.11</t>
  </si>
  <si>
    <t>Cameroon.</t>
  </si>
  <si>
    <t>https://ebookcentral.proquest.com/lib/ungli/detail.action?docID=5836214</t>
  </si>
  <si>
    <t>Native Americans, Crime, and Justice</t>
  </si>
  <si>
    <t>Nielsen, Marianne O.</t>
  </si>
  <si>
    <t>Afropolitanism and the Novel : De-Realizing Africa</t>
  </si>
  <si>
    <t>Harris, Ashleigh</t>
  </si>
  <si>
    <t>PR9340.5 .H377 2020</t>
  </si>
  <si>
    <t>Africans in literature</t>
  </si>
  <si>
    <t>https://ebookcentral.proquest.com/lib/ungli/detail.action?docID=5848402</t>
  </si>
  <si>
    <t>Red Thunder, Tropic Lightning : The World of a Combat Division in Vietnam</t>
  </si>
  <si>
    <t>Bergerud, Eric M.</t>
  </si>
  <si>
    <t>DS558 .B474 2019</t>
  </si>
  <si>
    <t>Military operations-History</t>
  </si>
  <si>
    <t>https://ebookcentral.proquest.com/lib/ungli/detail.action?docID=5851686</t>
  </si>
  <si>
    <t>The West Bank : History, Politics, Society, and Economy</t>
  </si>
  <si>
    <t>Lustick, Ian</t>
  </si>
  <si>
    <t>China: a Political History, 1917-1980</t>
  </si>
  <si>
    <t>Thornton, Richard C.</t>
  </si>
  <si>
    <t>DS775.7 .T467 2018</t>
  </si>
  <si>
    <t>Communism-China-History</t>
  </si>
  <si>
    <t>https://ebookcentral.proquest.com/lib/ungli/detail.action?docID=5884115</t>
  </si>
  <si>
    <t>Berlin Between Two Worlds</t>
  </si>
  <si>
    <t>Francisco, Ronald A.</t>
  </si>
  <si>
    <t>DD881 .B475 2018</t>
  </si>
  <si>
    <t xml:space="preserve">World politics-1945-1989. </t>
  </si>
  <si>
    <t>Collected Ghost Stories</t>
  </si>
  <si>
    <t>James, M. R.</t>
  </si>
  <si>
    <t>Phineas Finn</t>
  </si>
  <si>
    <t>Trollope, Anthony</t>
  </si>
  <si>
    <t>Cranford</t>
  </si>
  <si>
    <t>Gaskell, Elizabeth</t>
  </si>
  <si>
    <t>The Turn of the Screw and Other Stories</t>
  </si>
  <si>
    <t>James, Henry</t>
  </si>
  <si>
    <t>The Black Tulip</t>
  </si>
  <si>
    <t>Dumas, Alexandre</t>
  </si>
  <si>
    <t>The Law and the Lady</t>
  </si>
  <si>
    <t>Little Dorrit</t>
  </si>
  <si>
    <t>Dickens, Charles</t>
  </si>
  <si>
    <t>The Duke's Children</t>
  </si>
  <si>
    <t>Sylvia's Lovers</t>
  </si>
  <si>
    <t>Under the Greenwood Tree</t>
  </si>
  <si>
    <t>Sovereignty in Dispute : The Falklands/malvinas, 1493-1982</t>
  </si>
  <si>
    <t>Hoffmann, Fritz L.</t>
  </si>
  <si>
    <t>Czechoslovakia in European History</t>
  </si>
  <si>
    <t>Thomson, S. Harrison</t>
  </si>
  <si>
    <t>DB215 .T4667 2018</t>
  </si>
  <si>
    <t>943.7</t>
  </si>
  <si>
    <t>Czechoslovakia-History.</t>
  </si>
  <si>
    <t>https://ebookcentral.proquest.com/lib/ungli/detail.action?docID=5896939</t>
  </si>
  <si>
    <t>Mubarak's Egypt : Fragmentation of the Political Order</t>
  </si>
  <si>
    <t>Springborg, Robert</t>
  </si>
  <si>
    <t>The Iraq War : Origins and Consequences</t>
  </si>
  <si>
    <t>DeFronzo, James</t>
  </si>
  <si>
    <t>DS79.76 .D447 2018</t>
  </si>
  <si>
    <t>956.7044/3</t>
  </si>
  <si>
    <t>Iraq War, 2003-2011-Causes</t>
  </si>
  <si>
    <t>https://ebookcentral.proquest.com/lib/ungli/detail.action?docID=5904945</t>
  </si>
  <si>
    <t>India : The Definitive History</t>
  </si>
  <si>
    <t>DS436 .S27 2018</t>
  </si>
  <si>
    <t>India-History</t>
  </si>
  <si>
    <t>https://ebookcentral.proquest.com/lib/ungli/detail.action?docID=5904946</t>
  </si>
  <si>
    <t>Mexican History : A Primary Source Reader</t>
  </si>
  <si>
    <t>E. Jaffary, Nora</t>
  </si>
  <si>
    <t>F1203 .M49 2018</t>
  </si>
  <si>
    <t>Mexico-History-Sources</t>
  </si>
  <si>
    <t>https://ebookcentral.proquest.com/lib/ungli/detail.action?docID=5904960</t>
  </si>
  <si>
    <t>Great Expectations</t>
  </si>
  <si>
    <t>Mahatma Gandhi : The Man Who Became One with the Universal Being</t>
  </si>
  <si>
    <t>Rolland, Romain</t>
  </si>
  <si>
    <t>Sustainable governance and management of food systems : Ethical perspectives</t>
  </si>
  <si>
    <t>Vinnari, Eija</t>
  </si>
  <si>
    <t>Only One Earth : Living for the Future</t>
  </si>
  <si>
    <t>Timberlake, Lloyd</t>
  </si>
  <si>
    <t>Late Night with Trump : Political Humor and the American Presidency</t>
  </si>
  <si>
    <t>Farnsworth, Stephen J.</t>
  </si>
  <si>
    <t>Making a Business Plan</t>
  </si>
  <si>
    <t>Grit, Roel</t>
  </si>
  <si>
    <t>HD30.28 .G758 2016</t>
  </si>
  <si>
    <t>Business planning</t>
  </si>
  <si>
    <t>https://ebookcentral.proquest.com/lib/ungli/detail.action?docID=5981643</t>
  </si>
  <si>
    <t>International Business</t>
  </si>
  <si>
    <t>Jethu-Ramsoedh, Radha</t>
  </si>
  <si>
    <t>Senegal : An African Nation Between Islam and the West, Second Edition</t>
  </si>
  <si>
    <t>Gellar, Sheldon</t>
  </si>
  <si>
    <t>Die Verwandelten : Roman</t>
  </si>
  <si>
    <t>Brussig, Thomas</t>
  </si>
  <si>
    <t>German</t>
  </si>
  <si>
    <t>https://ebookcentral.proquest.com/lib/ungli/detail.action?docID=6036547</t>
  </si>
  <si>
    <t>The Reign of Elizabeth I : 1558-1603</t>
  </si>
  <si>
    <t>DA355$b.L36 2007</t>
  </si>
  <si>
    <t>Elizabeth-I,-Queen of England,-1533-1603</t>
  </si>
  <si>
    <t>https://ebookcentral.proquest.com/lib/ungli/detail.action?docID=6036756</t>
  </si>
  <si>
    <t>Hitler and His Allies in World War Two</t>
  </si>
  <si>
    <t>Adelman, Jonathan</t>
  </si>
  <si>
    <t>DD247.H5 .H585 2007</t>
  </si>
  <si>
    <t>940.53/243</t>
  </si>
  <si>
    <t xml:space="preserve">Hitler, Adolf,-1889-1945. </t>
  </si>
  <si>
    <t>Europe, 1890-1945</t>
  </si>
  <si>
    <t>D395 .L44 2003</t>
  </si>
  <si>
    <t>940.2/8</t>
  </si>
  <si>
    <t xml:space="preserve">Europe-History-1871-1918. </t>
  </si>
  <si>
    <t>This Side of Paradise</t>
  </si>
  <si>
    <t>Heliogabal</t>
  </si>
  <si>
    <t>Artaud, Antonin</t>
  </si>
  <si>
    <t>Chapters of German History</t>
  </si>
  <si>
    <t>Valentin, Veit</t>
  </si>
  <si>
    <t>Lästerliche Schriften : Der Rabbi von Bacherach</t>
  </si>
  <si>
    <t>https://ebookcentral.proquest.com/lib/ungli/detail.action?docID=6266074</t>
  </si>
  <si>
    <t>Ich möchte Dir ein Liebes schenken : Ausgesuchte Liebesgedichte</t>
  </si>
  <si>
    <t>Rilke, Rainer Maria</t>
  </si>
  <si>
    <t>Schachnovelle : Brief einer Unbekannten. Der Amokläufer</t>
  </si>
  <si>
    <t>Zweig, Stefan</t>
  </si>
  <si>
    <t>https://ebookcentral.proquest.com/lib/ungli/detail.action?docID=6266308</t>
  </si>
  <si>
    <t>Das Mondschaf steht auf weiter Flur : Gedichte und Sprüche</t>
  </si>
  <si>
    <t>Morgenstern, Christian</t>
  </si>
  <si>
    <t>https://ebookcentral.proquest.com/lib/ungli/detail.action?docID=6266314</t>
  </si>
  <si>
    <t>Die Aufzeichnungen desMalte Laurids Brigge</t>
  </si>
  <si>
    <t>https://ebookcentral.proquest.com/lib/ungli/detail.action?docID=6266340</t>
  </si>
  <si>
    <t>Geschichten vom lieben Gott</t>
  </si>
  <si>
    <t>https://ebookcentral.proquest.com/lib/ungli/detail.action?docID=6266370</t>
  </si>
  <si>
    <t>Michael Ende neu entdecken : Was Jim Knopf, Momo und die Unendliche Geschichte Erwachsenen zu sagen haben</t>
  </si>
  <si>
    <t>Hans-Heino, Ewers</t>
  </si>
  <si>
    <t>https://ebookcentral.proquest.com/lib/ungli/detail.action?docID=6269670</t>
  </si>
  <si>
    <t>Brief an den Vater / Das Urteil</t>
  </si>
  <si>
    <t>Kafka, Franz</t>
  </si>
  <si>
    <t>Atta Troll. Ein Sommernachtstraum/ Deutschland. Ein Wintermärchen</t>
  </si>
  <si>
    <t>Heinrich, Heine</t>
  </si>
  <si>
    <t>Stefan Zweig: Schachnovelle</t>
  </si>
  <si>
    <t>30 Great Myths about Jane Austen</t>
  </si>
  <si>
    <t>Governing Singapore : Democracy and National Development</t>
  </si>
  <si>
    <t>Vasil, Raj</t>
  </si>
  <si>
    <t>Die Verstoßene</t>
  </si>
  <si>
    <t>Abécassis, Eliette</t>
  </si>
  <si>
    <t>https://ebookcentral.proquest.com/lib/ungli/detail.action?docID=6350227</t>
  </si>
  <si>
    <t>The United Arab Emirates : A Modern History</t>
  </si>
  <si>
    <t>Abdullah, Mohammad Morsy</t>
  </si>
  <si>
    <t>DS247.T88 .A23 2016</t>
  </si>
  <si>
    <t>953.57</t>
  </si>
  <si>
    <t>United Arab Emirates-History.</t>
  </si>
  <si>
    <t>https://ebookcentral.proquest.com/lib/ungli/detail.action?docID=6402845</t>
  </si>
  <si>
    <t>The Pattern of World Conflict</t>
  </si>
  <si>
    <t>Arnold, G. L.</t>
  </si>
  <si>
    <t>Young Goodman Brown and Other Tales</t>
  </si>
  <si>
    <t>Hawthorne, Nathaniel</t>
  </si>
  <si>
    <t>Diario de la Pandemia</t>
  </si>
  <si>
    <t>Airoldi, Rachele</t>
  </si>
  <si>
    <t>Sustainable Development Handbook, Second Edition</t>
  </si>
  <si>
    <t>Roosa, Stephen A.</t>
  </si>
  <si>
    <t>The Memoirs of Sherlock Holmes</t>
  </si>
  <si>
    <t>Doyle, Arthur Conan.</t>
  </si>
  <si>
    <t>Flöten und Dolche : Novellen</t>
  </si>
  <si>
    <t>Mann, Heinrich</t>
  </si>
  <si>
    <t>https://ebookcentral.proquest.com/lib/ungli/detail.action?docID=6454592</t>
  </si>
  <si>
    <t>Gesammelte Werke</t>
  </si>
  <si>
    <t>https://ebookcentral.proquest.com/lib/ungli/detail.action?docID=6459118</t>
  </si>
  <si>
    <t>Stufen : Aphorismen und Tagebuchnotizen</t>
  </si>
  <si>
    <t>Russia and the USSR, 1855-1991 : Autocracy and Dictatorship</t>
  </si>
  <si>
    <t>DK266 .L44 2006</t>
  </si>
  <si>
    <t>947.08</t>
  </si>
  <si>
    <t>Soviet Union-Politics and government.</t>
  </si>
  <si>
    <t>https://ebookcentral.proquest.com/lib/ungli/detail.action?docID=6499638</t>
  </si>
  <si>
    <t>Understanding and combatting African Swine Fever : A European perspective</t>
  </si>
  <si>
    <t>Iacolina, Laura</t>
  </si>
  <si>
    <t>Muslims and Others in Early Islamic Society</t>
  </si>
  <si>
    <t>Hoyland, Robert</t>
  </si>
  <si>
    <t>Die Blechtrommel</t>
  </si>
  <si>
    <t>Grass, Günter</t>
  </si>
  <si>
    <t>https://ebookcentral.proquest.com/lib/ungli/detail.action?docID=6609016</t>
  </si>
  <si>
    <t>Katz und Maus</t>
  </si>
  <si>
    <t>https://ebookcentral.proquest.com/lib/ungli/detail.action?docID=6609032</t>
  </si>
  <si>
    <t>Der Butt</t>
  </si>
  <si>
    <t>https://ebookcentral.proquest.com/lib/ungli/detail.action?docID=6609045</t>
  </si>
  <si>
    <t>Hundejahre</t>
  </si>
  <si>
    <t>https://ebookcentral.proquest.com/lib/ungli/detail.action?docID=6609059</t>
  </si>
  <si>
    <t>Ein Weites Feld</t>
  </si>
  <si>
    <t>https://ebookcentral.proquest.com/lib/ungli/detail.action?docID=6609082</t>
  </si>
  <si>
    <t>Die Rättin</t>
  </si>
  <si>
    <t>https://ebookcentral.proquest.com/lib/ungli/detail.action?docID=6609118</t>
  </si>
  <si>
    <t>Grimms Wörter</t>
  </si>
  <si>
    <t>https://ebookcentral.proquest.com/lib/ungli/detail.action?docID=6609165</t>
  </si>
  <si>
    <t>Der Kampf Um Die Polnische Post</t>
  </si>
  <si>
    <t>https://ebookcentral.proquest.com/lib/ungli/detail.action?docID=6609206</t>
  </si>
  <si>
    <t>Im Krebsgang</t>
  </si>
  <si>
    <t>https://ebookcentral.proquest.com/lib/ungli/detail.action?docID=6609339</t>
  </si>
  <si>
    <t>In Letzter Zeit : Ein Gespräch Im Herbst</t>
  </si>
  <si>
    <t>Africa : An Introduction</t>
  </si>
  <si>
    <t>Palmer, Eustace</t>
  </si>
  <si>
    <t>DT20 .P35 2022</t>
  </si>
  <si>
    <t>Africa-History.</t>
  </si>
  <si>
    <t>https://ebookcentral.proquest.com/lib/ungli/detail.action?docID=6612997</t>
  </si>
  <si>
    <t>Wie der Fußball in die Welt kam</t>
  </si>
  <si>
    <t>Heine, Helme</t>
  </si>
  <si>
    <t>https://ebookcentral.proquest.com/lib/ungli/detail.action?docID=6662701</t>
  </si>
  <si>
    <t>Las Griegas</t>
  </si>
  <si>
    <t>Olguín, Sergio</t>
  </si>
  <si>
    <t>Exposición Múltiple</t>
  </si>
  <si>
    <t>Álvarez, Guillermo</t>
  </si>
  <si>
    <t>Western Germany : From Defeat to Rearmament</t>
  </si>
  <si>
    <t>Grosser, Alfred</t>
  </si>
  <si>
    <t>American First Ladies : Their Lives and Their Legacy</t>
  </si>
  <si>
    <t>Gould, Lewis L.</t>
  </si>
  <si>
    <t>E176.2 .A447 2021</t>
  </si>
  <si>
    <t xml:space="preserve">Presidents' spouses-United States-Biography. </t>
  </si>
  <si>
    <t>Anglo-Saxon History : Basic Readings</t>
  </si>
  <si>
    <t>Pelteret, David A. E.</t>
  </si>
  <si>
    <t>DA152 .A545 2021</t>
  </si>
  <si>
    <t>942.01</t>
  </si>
  <si>
    <t>Anglo-Saxons</t>
  </si>
  <si>
    <t>https://ebookcentral.proquest.com/lib/ungli/detail.action?docID=6789326</t>
  </si>
  <si>
    <t>Management : The Basics</t>
  </si>
  <si>
    <t>Witzel, Morgen</t>
  </si>
  <si>
    <t>HD31 .W589 2022</t>
  </si>
  <si>
    <t>Management.</t>
  </si>
  <si>
    <t>https://ebookcentral.proquest.com/lib/ungli/detail.action?docID=6887276</t>
  </si>
  <si>
    <t>Halal Logistics and Supply Chain Management : Recent Trends and Issues</t>
  </si>
  <si>
    <t>Rahman, Nor Aida Abdul</t>
  </si>
  <si>
    <t>Die mündliche Zivilrechtsprüfung im Assessorexamen : 12 Prüfungsgespräche</t>
  </si>
  <si>
    <t>Thürling, Julia</t>
  </si>
  <si>
    <t>The Holocaust : Europe, the World, and the Jews, 1918-1945</t>
  </si>
  <si>
    <t>Goda, Norman J. W.</t>
  </si>
  <si>
    <t>D804.3 .G633 2022</t>
  </si>
  <si>
    <t>https://ebookcentral.proquest.com/lib/ungli/detail.action?docID=6952790</t>
  </si>
  <si>
    <t>History of Persia</t>
  </si>
  <si>
    <t>Sykes, Sir Percy</t>
  </si>
  <si>
    <t>DS272 .S954 2004</t>
  </si>
  <si>
    <t>935.05</t>
  </si>
  <si>
    <t>Iran-History</t>
  </si>
  <si>
    <t>https://ebookcentral.proquest.com/lib/ungli/detail.action?docID=6975965</t>
  </si>
  <si>
    <t>Das Abendessen</t>
  </si>
  <si>
    <t>Aira, César</t>
  </si>
  <si>
    <t>Ueberdog : Roman</t>
  </si>
  <si>
    <t>Albig, Jörg-Uwe</t>
  </si>
  <si>
    <t>https://ebookcentral.proquest.com/lib/ungli/detail.action?docID=7027702</t>
  </si>
  <si>
    <t>Sturm : Novelle</t>
  </si>
  <si>
    <t>Jünger, Ernst</t>
  </si>
  <si>
    <t>https://ebookcentral.proquest.com/lib/ungli/detail.action?docID=7027817</t>
  </si>
  <si>
    <t>Eine Liebe in der Steppe : Novelle</t>
  </si>
  <si>
    <t>https://ebookcentral.proquest.com/lib/ungli/detail.action?docID=7028040</t>
  </si>
  <si>
    <t>Zornfried : Roman</t>
  </si>
  <si>
    <t>https://ebookcentral.proquest.com/lib/ungli/detail.action?docID=7028358</t>
  </si>
  <si>
    <t>Das Stockholm-Syndrom und der sadomasochistische Geist des Kapitalismus : Roman</t>
  </si>
  <si>
    <t>https://ebookcentral.proquest.com/lib/ungli/detail.action?docID=7028605</t>
  </si>
  <si>
    <t>The New Customer Experience Management : Why and How the Companies of the Future Address Their Customers' Needs Proactively</t>
  </si>
  <si>
    <t>Yorgov, Ivaylo</t>
  </si>
  <si>
    <t>HF5415.5 .Y674 2023</t>
  </si>
  <si>
    <t>Customer services</t>
  </si>
  <si>
    <t>https://ebookcentral.proquest.com/lib/ungli/detail.action?docID=7075885</t>
  </si>
  <si>
    <t>The Words of Winston Churchill</t>
  </si>
  <si>
    <t>Locke Hart, Jonathan</t>
  </si>
  <si>
    <t>DA566.9.C5 H378 2023</t>
  </si>
  <si>
    <t xml:space="preserve">Churchill, Winston,-1874-1965. </t>
  </si>
  <si>
    <t>Jerusalem</t>
  </si>
  <si>
    <t>Cattan, Henry</t>
  </si>
  <si>
    <t>DS109.9 .C388 2022</t>
  </si>
  <si>
    <t>956.94/404</t>
  </si>
  <si>
    <t>Arab-Israeli conflict-Peace</t>
  </si>
  <si>
    <t>https://ebookcentral.proquest.com/lib/ungli/detail.action?docID=7108887</t>
  </si>
  <si>
    <t>Material Matters : Developing Business for a Circular Economy</t>
  </si>
  <si>
    <t>Rau, Thomas</t>
  </si>
  <si>
    <t>American-Soviet Relations : From the Russian Revolution to the Fall of Communism</t>
  </si>
  <si>
    <t>Boyle, Peter G.</t>
  </si>
  <si>
    <t>Lehmanns Erzählungen oder So schön war mein Markt : Aus den Bekenntnissen eines Schwarzhändlers</t>
  </si>
  <si>
    <t>Lenz, Siegfried</t>
  </si>
  <si>
    <t>https://ebookcentral.proquest.com/lib/ungli/detail.action?docID=7131381</t>
  </si>
  <si>
    <t>"Das Märchen meines Lebens" : Poetische Selbstporträts</t>
  </si>
  <si>
    <t>Artur Lanz</t>
  </si>
  <si>
    <t>Maron, Monika</t>
  </si>
  <si>
    <t>https://ebookcentral.proquest.com/lib/ungli/detail.action?docID=7131527</t>
  </si>
  <si>
    <t>Ach Glück</t>
  </si>
  <si>
    <t>https://ebookcentral.proquest.com/lib/ungli/detail.action?docID=7131528</t>
  </si>
  <si>
    <t>Die Überläuferin</t>
  </si>
  <si>
    <t>https://ebookcentral.proquest.com/lib/ungli/detail.action?docID=7131530</t>
  </si>
  <si>
    <t>Munin Oder Chaos Im Kopf</t>
  </si>
  <si>
    <t>https://ebookcentral.proquest.com/lib/ungli/detail.action?docID=7131531</t>
  </si>
  <si>
    <t>Zwischenspiel</t>
  </si>
  <si>
    <t>https://ebookcentral.proquest.com/lib/ungli/detail.action?docID=7131533</t>
  </si>
  <si>
    <t>Endmoränen</t>
  </si>
  <si>
    <t>https://ebookcentral.proquest.com/lib/ungli/detail.action?docID=7131535</t>
  </si>
  <si>
    <t>Stille Zeile Sechs</t>
  </si>
  <si>
    <t>https://ebookcentral.proquest.com/lib/ungli/detail.action?docID=7131536</t>
  </si>
  <si>
    <t>Wasserwelten</t>
  </si>
  <si>
    <t>Die Harzreise</t>
  </si>
  <si>
    <t>https://ebookcentral.proquest.com/lib/ungli/detail.action?docID=7131598</t>
  </si>
  <si>
    <t>Arnes Nachlaß : Roman</t>
  </si>
  <si>
    <t>https://ebookcentral.proquest.com/lib/ungli/detail.action?docID=7131599</t>
  </si>
  <si>
    <t>Das Feuerschiff : Erzählung</t>
  </si>
  <si>
    <t>https://ebookcentral.proquest.com/lib/ungli/detail.action?docID=7131600</t>
  </si>
  <si>
    <t>Der Mann im Strom : Roman</t>
  </si>
  <si>
    <t>Der Verlust : Roman</t>
  </si>
  <si>
    <t>https://ebookcentral.proquest.com/lib/ungli/detail.action?docID=7131603</t>
  </si>
  <si>
    <t>Deutschstunde : Roman</t>
  </si>
  <si>
    <t>https://ebookcentral.proquest.com/lib/ungli/detail.action?docID=7131604</t>
  </si>
  <si>
    <t>Die Auflehnung : Roman</t>
  </si>
  <si>
    <t>https://ebookcentral.proquest.com/lib/ungli/detail.action?docID=7131605</t>
  </si>
  <si>
    <t>Die Klangprobe : Roman</t>
  </si>
  <si>
    <t>https://ebookcentral.proquest.com/lib/ungli/detail.action?docID=7131606</t>
  </si>
  <si>
    <t>Es waren Habichte in der Luft : Roman</t>
  </si>
  <si>
    <t>https://ebookcentral.proquest.com/lib/ungli/detail.action?docID=7131607</t>
  </si>
  <si>
    <t>Exerzierplatz : Roman</t>
  </si>
  <si>
    <t>https://ebookcentral.proquest.com/lib/ungli/detail.action?docID=7131608</t>
  </si>
  <si>
    <t>O wie lieb ich das Meer : Ein Buch von der Nordsee</t>
  </si>
  <si>
    <t>Das Gelächter des Kukkaburra</t>
  </si>
  <si>
    <t>https://ebookcentral.proquest.com/lib/ungli/detail.action?docID=7131626</t>
  </si>
  <si>
    <t>Das Wrack</t>
  </si>
  <si>
    <t>https://ebookcentral.proquest.com/lib/ungli/detail.action?docID=7131627</t>
  </si>
  <si>
    <t>Der Läufer</t>
  </si>
  <si>
    <t>https://ebookcentral.proquest.com/lib/ungli/detail.action?docID=7131632</t>
  </si>
  <si>
    <t>Der sechste Geburtstag</t>
  </si>
  <si>
    <t>https://ebookcentral.proquest.com/lib/ungli/detail.action?docID=7131634</t>
  </si>
  <si>
    <t>Der Sohn des Diktators</t>
  </si>
  <si>
    <t>https://ebookcentral.proquest.com/lib/ungli/detail.action?docID=7131636</t>
  </si>
  <si>
    <t>Die Ferne ist nah genug</t>
  </si>
  <si>
    <t>https://ebookcentral.proquest.com/lib/ungli/detail.action?docID=7131638</t>
  </si>
  <si>
    <t>Die Festung</t>
  </si>
  <si>
    <t>https://ebookcentral.proquest.com/lib/ungli/detail.action?docID=7131639</t>
  </si>
  <si>
    <t>Die Nacht im Hotel</t>
  </si>
  <si>
    <t>https://ebookcentral.proquest.com/lib/ungli/detail.action?docID=7131642</t>
  </si>
  <si>
    <t>Jäger des Spotts</t>
  </si>
  <si>
    <t>https://ebookcentral.proquest.com/lib/ungli/detail.action?docID=7131650</t>
  </si>
  <si>
    <t>Kummer mit jütländischen Kaffeetafeln</t>
  </si>
  <si>
    <t>https://ebookcentral.proquest.com/lib/ungli/detail.action?docID=7131651</t>
  </si>
  <si>
    <t>Lotte soll nicht sterben</t>
  </si>
  <si>
    <t>https://ebookcentral.proquest.com/lib/ungli/detail.action?docID=7131655</t>
  </si>
  <si>
    <t>Lukas, sanftmütiger Knecht</t>
  </si>
  <si>
    <t>https://ebookcentral.proquest.com/lib/ungli/detail.action?docID=7131656</t>
  </si>
  <si>
    <t>Risiko für Weihnachtsmänner</t>
  </si>
  <si>
    <t>https://ebookcentral.proquest.com/lib/ungli/detail.action?docID=7131658</t>
  </si>
  <si>
    <t>Unter Dampf gesetzt</t>
  </si>
  <si>
    <t>https://ebookcentral.proquest.com/lib/ungli/detail.action?docID=7131661</t>
  </si>
  <si>
    <t>Doch Hamburg hat bessere Austern : Eine literarische Stadtrundfahrt</t>
  </si>
  <si>
    <t>https://ebookcentral.proquest.com/lib/ungli/detail.action?docID=7131703</t>
  </si>
  <si>
    <t>Der Golem</t>
  </si>
  <si>
    <t>Meyrink, Gustav</t>
  </si>
  <si>
    <t>https://ebookcentral.proquest.com/lib/ungli/detail.action?docID=7131747</t>
  </si>
  <si>
    <t>Das Wettangeln</t>
  </si>
  <si>
    <t>https://ebookcentral.proquest.com/lib/ungli/detail.action?docID=7131766</t>
  </si>
  <si>
    <t>Schweigeminute : Novelle</t>
  </si>
  <si>
    <t>https://ebookcentral.proquest.com/lib/ungli/detail.action?docID=7150531</t>
  </si>
  <si>
    <t>Erinnerungen an meinen Porsche : Roman</t>
  </si>
  <si>
    <t>Kirchhoff, Bodo</t>
  </si>
  <si>
    <t>https://ebookcentral.proquest.com/lib/ungli/detail.action?docID=7150533</t>
  </si>
  <si>
    <t>Buch der Lieder : Mit einem Nachwort von Jan-Christoph Hauschild</t>
  </si>
  <si>
    <t>https://ebookcentral.proquest.com/lib/ungli/detail.action?docID=7150538</t>
  </si>
  <si>
    <t>The Adventures of Sherlock Holmes</t>
  </si>
  <si>
    <t>Krähengekrächz</t>
  </si>
  <si>
    <t>Notes from the Underground, and the Gambler</t>
  </si>
  <si>
    <t>Dostoevsky, Fyodor</t>
  </si>
  <si>
    <t>The Lost World</t>
  </si>
  <si>
    <t>Zu Zweit : Novelle</t>
  </si>
  <si>
    <t>Strauß, Simon</t>
  </si>
  <si>
    <t>https://ebookcentral.proquest.com/lib/ungli/detail.action?docID=7176754</t>
  </si>
  <si>
    <t>Mats Hummels auf Parship</t>
  </si>
  <si>
    <t>https://ebookcentral.proquest.com/lib/ungli/detail.action?docID=7186112</t>
  </si>
  <si>
    <t>Royal Mistresses</t>
  </si>
  <si>
    <t>Carlton, Charles</t>
  </si>
  <si>
    <t>D107.7 .C37 2022</t>
  </si>
  <si>
    <t>941/.00992 B</t>
  </si>
  <si>
    <t>Kings and rulers-Paramours</t>
  </si>
  <si>
    <t>https://ebookcentral.proquest.com/lib/ungli/detail.action?docID=7186666</t>
  </si>
  <si>
    <t>Herr Aurich</t>
  </si>
  <si>
    <t>https://ebookcentral.proquest.com/lib/ungli/detail.action?docID=7188366</t>
  </si>
  <si>
    <t>Trump Was a Joke : How Satire Made Sense of a President Who Didn't</t>
  </si>
  <si>
    <t>Mcclennen, Sophia A.</t>
  </si>
  <si>
    <t>The Survivors : A Study of Homeless Young Newcomers to London and the Responses Made to Them</t>
  </si>
  <si>
    <t>Brandon, D.</t>
  </si>
  <si>
    <t>The Roadmap for Sustainable Business and Net Zero Carbon Emission</t>
  </si>
  <si>
    <t>Wang, Henry K. H.</t>
  </si>
  <si>
    <t>HD30.255 .W364 2023</t>
  </si>
  <si>
    <t>658.4/08</t>
  </si>
  <si>
    <t xml:space="preserve">Industrial management-Environmental aspects. </t>
  </si>
  <si>
    <t>Buddhism, Imperialism and War : Burma and Thailand in Modern History</t>
  </si>
  <si>
    <t>Ling, Trevor</t>
  </si>
  <si>
    <t>Colonial Africa</t>
  </si>
  <si>
    <t>Christopher, A. J.</t>
  </si>
  <si>
    <t>E59.C58 C475 2023</t>
  </si>
  <si>
    <t>960/.3</t>
  </si>
  <si>
    <t>Colonization</t>
  </si>
  <si>
    <t>https://ebookcentral.proquest.com/lib/ungli/detail.action?docID=7208564</t>
  </si>
  <si>
    <t>East Africa : A Century of Change 1870-1970</t>
  </si>
  <si>
    <t>Ward, W. E. F.</t>
  </si>
  <si>
    <t>History of Nigeria</t>
  </si>
  <si>
    <t>Burns, Sir Alan</t>
  </si>
  <si>
    <t>DT515.57 .B876 2023</t>
  </si>
  <si>
    <t>966.9</t>
  </si>
  <si>
    <t>Nigeria-History.</t>
  </si>
  <si>
    <t>https://ebookcentral.proquest.com/lib/ungli/detail.action?docID=7209928</t>
  </si>
  <si>
    <t>Emergent Africa</t>
  </si>
  <si>
    <t>DT29 .W373 2023</t>
  </si>
  <si>
    <t>Africa-History-20th century.</t>
  </si>
  <si>
    <t>https://ebookcentral.proquest.com/lib/ungli/detail.action?docID=7209939</t>
  </si>
  <si>
    <t>The Palestinians in Israel : A Study in Internal Colonialism</t>
  </si>
  <si>
    <t>Zureik, Elia T.</t>
  </si>
  <si>
    <t>Where the Waves Fall : A New South Sea Islands History from First Settlement to Colonial Rule</t>
  </si>
  <si>
    <t>Howe, K. R.</t>
  </si>
  <si>
    <t>DU420.12 .H694 2023</t>
  </si>
  <si>
    <t>New Zealand-History-To 1840.</t>
  </si>
  <si>
    <t>https://ebookcentral.proquest.com/lib/ungli/detail.action?docID=7211017</t>
  </si>
  <si>
    <t>The World Today</t>
  </si>
  <si>
    <t>West Africa : Quest for God and Gold, 1454-1578: a Survey of the First Century of White Enterprise in West Africa, with Particular Reference to the Achievement of the Portuguese and Their Rivalries with Other European Powers</t>
  </si>
  <si>
    <t>Blake, John W.</t>
  </si>
  <si>
    <t>DT475 .B535 2023</t>
  </si>
  <si>
    <t>Africa, West-History.</t>
  </si>
  <si>
    <t>https://ebookcentral.proquest.com/lib/ungli/detail.action?docID=7211049</t>
  </si>
  <si>
    <t>The Challenge of Africa</t>
  </si>
  <si>
    <t>Busia, K. A.</t>
  </si>
  <si>
    <t>DT510.43.A53 B875 2023</t>
  </si>
  <si>
    <t>960.32</t>
  </si>
  <si>
    <t>Akan (African people)</t>
  </si>
  <si>
    <t>https://ebookcentral.proquest.com/lib/ungli/detail.action?docID=7217280</t>
  </si>
  <si>
    <t>Zur Wildnis : 45 Kurze aus Berlin</t>
  </si>
  <si>
    <t>Krausser, Helmut</t>
  </si>
  <si>
    <t>https://ebookcentral.proquest.com/lib/ungli/detail.action?docID=7234696</t>
  </si>
  <si>
    <t>Non-Native Sources for the Scandinavian Kings' Sagas</t>
  </si>
  <si>
    <t>White, Paul A.</t>
  </si>
  <si>
    <t>PT7184 .W458 2005</t>
  </si>
  <si>
    <t>839.6/309</t>
  </si>
  <si>
    <t>Sagas-Foreign influences</t>
  </si>
  <si>
    <t>https://ebookcentral.proquest.com/lib/ungli/detail.action?docID=7237302</t>
  </si>
  <si>
    <t>Women and Marriage in India</t>
  </si>
  <si>
    <t>Thomas, P.</t>
  </si>
  <si>
    <t>The Soviet Union and Arab Nationalism, 1917-1966</t>
  </si>
  <si>
    <t>Behbehani, Hashim S. H.</t>
  </si>
  <si>
    <t>The Vikings</t>
  </si>
  <si>
    <t>Price, Neil</t>
  </si>
  <si>
    <t>Politics, International Relations and Diplomacy on the Korean Peninsula</t>
  </si>
  <si>
    <t>Lim, Sojin</t>
  </si>
  <si>
    <t>Organizational Sustainability and Risk Management : A Practical Step-By-Step Guide</t>
  </si>
  <si>
    <t>Staaf, Denice Viktoria</t>
  </si>
  <si>
    <t>Nazis, Islamic Antisemitism and the Middle East : The 1948 Arab War Against Israel and the Aftershocks of World War II</t>
  </si>
  <si>
    <t>Küntzel, Matthias</t>
  </si>
  <si>
    <t>Currents in American History: a Brief History of the United States, Volume II: From 1861 : A Brief History of the United States, Volume II: From 1861</t>
  </si>
  <si>
    <t>Elliott, Alan C.</t>
  </si>
  <si>
    <t>Dynasty in Motion: Wedding Journeys in Late Medieval and Early Modern Europe</t>
  </si>
  <si>
    <t>Pastrnak, Patrik</t>
  </si>
  <si>
    <t>Global Development : The Basics</t>
  </si>
  <si>
    <t>Hammett, Daniel</t>
  </si>
  <si>
    <t>The Viking Road to Byzantium</t>
  </si>
  <si>
    <t>Davidson, H. R. Ellis</t>
  </si>
  <si>
    <t>DK73 .D385 2023</t>
  </si>
  <si>
    <t xml:space="preserve">Vikings. </t>
  </si>
  <si>
    <t>The Origins of England 410-600</t>
  </si>
  <si>
    <t>Whittock, Martyn J.</t>
  </si>
  <si>
    <t>DA145 .W458 2024</t>
  </si>
  <si>
    <t xml:space="preserve">Romans-England. </t>
  </si>
  <si>
    <t>Employee Learning in Small Organizations : A Concise Guide for Small Organizations</t>
  </si>
  <si>
    <t>Panagiotakopoulos, Antonios</t>
  </si>
  <si>
    <t>HD58.82 .P363 2024</t>
  </si>
  <si>
    <t>Organizational learning.</t>
  </si>
  <si>
    <t>https://ebookcentral.proquest.com/lib/ungli/detail.action?docID=7263893</t>
  </si>
  <si>
    <t>Artificial Intelligence for Business Creativity</t>
  </si>
  <si>
    <t>Pagani, Margherita</t>
  </si>
  <si>
    <t>Revolution and (Post) War, 1917-1922 : Spring and Autumn in Europe and the World</t>
  </si>
  <si>
    <t>Serrano, Clara</t>
  </si>
  <si>
    <t>Ein Kriegsende</t>
  </si>
  <si>
    <t>https://ebookcentral.proquest.com/lib/ungli/detail.action?docID=7264728</t>
  </si>
  <si>
    <t>The Cryptocurrency Phenomenon : The Origins, Evolution and Economics of Digital Currencies</t>
  </si>
  <si>
    <t>Nicolini, Gianni</t>
  </si>
  <si>
    <t>West Africa under Colonial Rule</t>
  </si>
  <si>
    <t>Crowder, Michael</t>
  </si>
  <si>
    <t>DT476.2 .C769 2023</t>
  </si>
  <si>
    <t>Africa, West-History-1884-1960.</t>
  </si>
  <si>
    <t>https://ebookcentral.proquest.com/lib/ungli/detail.action?docID=7266317</t>
  </si>
  <si>
    <t>Fundraising and Nonprofit Marketing : A Research Overview</t>
  </si>
  <si>
    <t>Bennett, Roger</t>
  </si>
  <si>
    <t>HF5415 .B466 2024</t>
  </si>
  <si>
    <t>Nonprofit organizations-Marketing</t>
  </si>
  <si>
    <t>https://ebookcentral.proquest.com/lib/ungli/detail.action?docID=7266669</t>
  </si>
  <si>
    <t>The Arab-Israeli Conflict : An Introduction and Documentary Reader</t>
  </si>
  <si>
    <t>Mahler, Gregory S.</t>
  </si>
  <si>
    <t>956.04</t>
  </si>
  <si>
    <t xml:space="preserve">Arab-Israeli conflict-Sources. </t>
  </si>
  <si>
    <t>Der Überläufer</t>
  </si>
  <si>
    <t>https://ebookcentral.proquest.com/lib/ungli/detail.action?docID=7268638</t>
  </si>
  <si>
    <t>Cultural Enablers : Respect Every Individual and Lead with Humility</t>
  </si>
  <si>
    <t>Martyn, Mike</t>
  </si>
  <si>
    <t>Brazil after Bolsonaro : The Comeback of Lula Da Silva</t>
  </si>
  <si>
    <t>Bourne, Richard</t>
  </si>
  <si>
    <t>Brazil-Politics and government.</t>
  </si>
  <si>
    <t>https://ebookcentral.proquest.com/lib/ungli/detail.action?docID=7272984</t>
  </si>
  <si>
    <t>Creating Europe from the Margins : Mobilities and Racism in Postcolonial Europe</t>
  </si>
  <si>
    <t>Loftsdóttir, Kristín</t>
  </si>
  <si>
    <t>It's All Analytics, Part III : The Applications of AI, Analytics, and Data Science</t>
  </si>
  <si>
    <t>Burk, Scott</t>
  </si>
  <si>
    <t>Entrepreneurship, Innovation, and Technology : A Guide to Core Models and Tools</t>
  </si>
  <si>
    <t>Lorenzo, Oswaldo</t>
  </si>
  <si>
    <t>Artificial Intelligence, Strategic Communicators and Activism</t>
  </si>
  <si>
    <t>Swiatek, Lukasz</t>
  </si>
  <si>
    <t>Accelerating Sustainability in Fashion, Clothing and Textiles</t>
  </si>
  <si>
    <t>Charter, Martin</t>
  </si>
  <si>
    <t>Memory and Narrative at the Origin of the Novel : Three Studies, from Chrétien de Troyes to Proust</t>
  </si>
  <si>
    <t>Mainini, Lorenzo</t>
  </si>
  <si>
    <t>PN3491 .M356 2024</t>
  </si>
  <si>
    <t xml:space="preserve">Fiction-History and criticism. </t>
  </si>
  <si>
    <t>Lady Susan, the Watsons, and Sanditon : Unfinished Fictions and Other Writings</t>
  </si>
  <si>
    <t>Austen, Jane</t>
  </si>
  <si>
    <t>Power and Corporate Responsibility : Dimensions, Purpose and Value</t>
  </si>
  <si>
    <t>Malan, Daniel</t>
  </si>
  <si>
    <t>HD2741 .M353 2024</t>
  </si>
  <si>
    <t>658.4</t>
  </si>
  <si>
    <t xml:space="preserve">Corporate governance. </t>
  </si>
  <si>
    <t>Sex and Sexuality in Europe, 1100-1750 : The Devil's Roast</t>
  </si>
  <si>
    <t>Mansfield, Andrew</t>
  </si>
  <si>
    <t xml:space="preserve">Sex-Europe-History. </t>
  </si>
  <si>
    <t>The Employee and the Post-Pandemic Workplace : Towards a New, Enlightened Working Environment</t>
  </si>
  <si>
    <t>Zicari, Adrián</t>
  </si>
  <si>
    <t>Nonverbal Neutrality of Broadcasters Covering Crisis : Not Just What You Say but How You Say It</t>
  </si>
  <si>
    <t>Deavours, Danielle</t>
  </si>
  <si>
    <t>Journalism</t>
  </si>
  <si>
    <t xml:space="preserve">Television broadcasting of news-United States. </t>
  </si>
  <si>
    <t>Gold Dust : The California Gold Rush and the Forty-Niners</t>
  </si>
  <si>
    <t>Jackson, Donald Dale</t>
  </si>
  <si>
    <t>F862 .J335 2024</t>
  </si>
  <si>
    <t>979.4/04/0922</t>
  </si>
  <si>
    <t xml:space="preserve">California-Gold discoveries. </t>
  </si>
  <si>
    <t>Das Haus : Roman</t>
  </si>
  <si>
    <t>https://ebookcentral.proquest.com/lib/ungli/detail.action?docID=7293840</t>
  </si>
  <si>
    <t>Ustedes Brillan en lo Oscuro</t>
  </si>
  <si>
    <t>Colanzi, Liliana</t>
  </si>
  <si>
    <t>Los Milagros Prohibidos</t>
  </si>
  <si>
    <t>Ravelo, Alexis</t>
  </si>
  <si>
    <t>Mientras Estamos Muertos</t>
  </si>
  <si>
    <t>Ovejero, José</t>
  </si>
  <si>
    <t>Metanoia</t>
  </si>
  <si>
    <t>Arroyo, Dioni</t>
  </si>
  <si>
    <t>Las Otras Vidas</t>
  </si>
  <si>
    <t>Obligado, Clara</t>
  </si>
  <si>
    <t>Casa de Muñecas</t>
  </si>
  <si>
    <t>El Matrimonio de Los Peces Rojos</t>
  </si>
  <si>
    <t>Los Terneros</t>
  </si>
  <si>
    <t>Blanco Calderón, Rodrigo</t>
  </si>
  <si>
    <t>La Señora Rojo</t>
  </si>
  <si>
    <t>Ortuño, Antonio</t>
  </si>
  <si>
    <t>Geografïa de la Oscuridad</t>
  </si>
  <si>
    <t>Adaui, Katya</t>
  </si>
  <si>
    <t>London Calling</t>
  </si>
  <si>
    <t>Aparicio, Juan Pedro</t>
  </si>
  <si>
    <t>Manos de Lumbre</t>
  </si>
  <si>
    <t>Chimal, Alberto</t>
  </si>
  <si>
    <t>Al Final Del Miedo</t>
  </si>
  <si>
    <t>Eudave, Cecilia</t>
  </si>
  <si>
    <t>Hacerse el Muerto</t>
  </si>
  <si>
    <t>Neuman, Andrés</t>
  </si>
  <si>
    <t>Casa en Venta</t>
  </si>
  <si>
    <t>Abad, Mercedes</t>
  </si>
  <si>
    <t>Esbirros</t>
  </si>
  <si>
    <t>Anatomía Sensible</t>
  </si>
  <si>
    <t>Pelea de Gallos</t>
  </si>
  <si>
    <t>Ampuero, María Fernanda</t>
  </si>
  <si>
    <t>Sacrificios Humanos</t>
  </si>
  <si>
    <t>Mentiras Contagiosas</t>
  </si>
  <si>
    <t>Volpi, Jorge</t>
  </si>
  <si>
    <t>La Vaga Ambición</t>
  </si>
  <si>
    <t>Mundo Extraño</t>
  </si>
  <si>
    <t>Eterno amor</t>
  </si>
  <si>
    <t>Adón, Pilar</t>
  </si>
  <si>
    <t>Una Grieta en la Noche</t>
  </si>
  <si>
    <t>Baeza, Laura</t>
  </si>
  <si>
    <t>El Jardín Japonés</t>
  </si>
  <si>
    <t>La Biblioteca de Agua</t>
  </si>
  <si>
    <t>Días de Ira : Tres Narraciones en Tierra de Nadie</t>
  </si>
  <si>
    <t>Barbarismos</t>
  </si>
  <si>
    <t>El Que Espera</t>
  </si>
  <si>
    <t>La Muerte Juega a Los Dados</t>
  </si>
  <si>
    <t>El último Gamonal</t>
  </si>
  <si>
    <t>Álvarez Gardeazábal, Gustavo</t>
  </si>
  <si>
    <t>Comandante Paraiso</t>
  </si>
  <si>
    <t>Taiwan's Security in the Post-Deng Xiaoping Era</t>
  </si>
  <si>
    <t>Lasater, Martin L.</t>
  </si>
  <si>
    <t>The Chinese Internet : Political Economy and Digital Discourse</t>
  </si>
  <si>
    <t>Language/Linguistics</t>
  </si>
  <si>
    <t>Tech for Good : Imagine Solving the World's Greatest Challenges</t>
  </si>
  <si>
    <t>Hoek, Marga</t>
  </si>
  <si>
    <t>HD60 .H645 2024</t>
  </si>
  <si>
    <t xml:space="preserve">Social responsibility of business. </t>
  </si>
  <si>
    <t>The Routledge Handbook of Spanish History</t>
  </si>
  <si>
    <t>Dowling, Andrew</t>
  </si>
  <si>
    <t xml:space="preserve">Spain-History. </t>
  </si>
  <si>
    <t>Economic Theory for the Real World</t>
  </si>
  <si>
    <t>Beker, Victor A.</t>
  </si>
  <si>
    <t>Consumer Behaviour and Analytics</t>
  </si>
  <si>
    <t>Smith, Andrew</t>
  </si>
  <si>
    <t>HF5415.32 .S658 2024</t>
  </si>
  <si>
    <t xml:space="preserve">Consumer behavior. </t>
  </si>
  <si>
    <t>Colonial and Post-Colonial Identity Politics in South Asia : Zaat/Caste among Muslims</t>
  </si>
  <si>
    <t>Assadi, Muzaffar</t>
  </si>
  <si>
    <t>Professions and Professionalism : A Research Overview</t>
  </si>
  <si>
    <t>Dent, Mike</t>
  </si>
  <si>
    <t>Essentials of Sustainability for Business : A Practical Approach</t>
  </si>
  <si>
    <t>McManners, Peter</t>
  </si>
  <si>
    <t>Nintendo : Playing with Power</t>
  </si>
  <si>
    <t>Nichols, Randy</t>
  </si>
  <si>
    <t>Data Analytics and Digital Transformation</t>
  </si>
  <si>
    <t>Beulen, Erik</t>
  </si>
  <si>
    <t>Artificial Intelligence for Business : An Implementation Guide Containing Practical and Industry-Specific Case Studies</t>
  </si>
  <si>
    <t>K, Hemachandran</t>
  </si>
  <si>
    <t>The Avocado Debate</t>
  </si>
  <si>
    <t>Eldridge, Honor May</t>
  </si>
  <si>
    <t>Performing for the Don : Theaters of Faith in the Trump Era</t>
  </si>
  <si>
    <t>Willenbrink, Hank</t>
  </si>
  <si>
    <t>E913.3 .W555 2024</t>
  </si>
  <si>
    <t xml:space="preserve">Trump, Donald,-1946--Religion. </t>
  </si>
  <si>
    <t>The Rebirth of Antisemitism in the 21st Century : From the Academic Boycott Campaign into the Mainstream</t>
  </si>
  <si>
    <t>Hirsh, David</t>
  </si>
  <si>
    <t>The Military Legacy of Alexander the Great : Lessons for the Information Age</t>
  </si>
  <si>
    <t>Ferguson, Michael P.</t>
  </si>
  <si>
    <t>Age of Agency : Rise with AI</t>
  </si>
  <si>
    <t>Govender, Kerushan</t>
  </si>
  <si>
    <t>Science</t>
  </si>
  <si>
    <t>Military Regimes in Africa</t>
  </si>
  <si>
    <t>Gutteridge, W. F.</t>
  </si>
  <si>
    <t>DT30 .G888 2024</t>
  </si>
  <si>
    <t xml:space="preserve">Africa-Politics and government-1960- </t>
  </si>
  <si>
    <t>Ideas of Europe : Time, Space, and Tradition</t>
  </si>
  <si>
    <t>Antonelli, Roberto</t>
  </si>
  <si>
    <t>Crowdfunding and Entrepreneurship</t>
  </si>
  <si>
    <t>Ekanem, Ignatius</t>
  </si>
  <si>
    <t>Monetary Policy and Inflation : Quantity Theory of Money</t>
  </si>
  <si>
    <t>Machaj, Mateusz</t>
  </si>
  <si>
    <t>World War Aid : Interventionist Aid and War in Ukraine</t>
  </si>
  <si>
    <t>Pellicciari, Igor</t>
  </si>
  <si>
    <t>Global Crisis and the Creative Industries : Analysing the Impact of the Covid-19 Pandemic</t>
  </si>
  <si>
    <t>Daniel, Ryan</t>
  </si>
  <si>
    <t>Digital Content Marketing : Creating Value in Practice</t>
  </si>
  <si>
    <t>Krowinska, Agata</t>
  </si>
  <si>
    <t>An Introduction to Medieval History</t>
  </si>
  <si>
    <t>Dymond, Dorothy</t>
  </si>
  <si>
    <t>D116 .D966 2023</t>
  </si>
  <si>
    <t>Middle Ages-Historiography.</t>
  </si>
  <si>
    <t>https://ebookcentral.proquest.com/lib/ungli/detail.action?docID=30847566</t>
  </si>
  <si>
    <t>Indigenous Archives in Postcolonial Contexts : Recalling the Past in Africa</t>
  </si>
  <si>
    <t>Ngoepe, Mpho</t>
  </si>
  <si>
    <t>Sociolinguistics of the Korean Wave : Hallyu and Soft Power</t>
  </si>
  <si>
    <t>Samosir, Nora</t>
  </si>
  <si>
    <t>The Routledge Handbook of French History</t>
  </si>
  <si>
    <t>Andress, David</t>
  </si>
  <si>
    <t>DC33 .R688 2024</t>
  </si>
  <si>
    <t xml:space="preserve">France-Civilization. </t>
  </si>
  <si>
    <t>Corporate Finance : The Basics</t>
  </si>
  <si>
    <t>Tse, Terence C. M.</t>
  </si>
  <si>
    <t>HG4026 .T74 2024</t>
  </si>
  <si>
    <t>658.15</t>
  </si>
  <si>
    <t>Corporations-Finance.</t>
  </si>
  <si>
    <t>https://ebookcentral.proquest.com/lib/ungli/detail.action?docID=30876322</t>
  </si>
  <si>
    <t>Urban Life in Nordic Countries</t>
  </si>
  <si>
    <t>Droste, Heiko</t>
  </si>
  <si>
    <t>Media, Economy and Society : A Critical Introduction</t>
  </si>
  <si>
    <t>Fuchs, Christian</t>
  </si>
  <si>
    <t>Researching and Analysing Business : Research Methods in Practice</t>
  </si>
  <si>
    <t>Foroudi, Pantea</t>
  </si>
  <si>
    <t>Environmental Governance</t>
  </si>
  <si>
    <t>Evans, James</t>
  </si>
  <si>
    <t>No Fue Penal : Una Jugada en Dos Tiempos</t>
  </si>
  <si>
    <t>Villoro, Juan.</t>
  </si>
  <si>
    <t>AI-Based Data Analytics : Applications for Business Management</t>
  </si>
  <si>
    <t>Chaudhary, Kiran</t>
  </si>
  <si>
    <t>Creative Economy and Sustainable Development : The Context of Indian Handicrafts</t>
  </si>
  <si>
    <t>Dutta, Madhura</t>
  </si>
  <si>
    <t>What Is Financialization?</t>
  </si>
  <si>
    <t>Akan, Taner</t>
  </si>
  <si>
    <t>A Career in Radio : Understanding the Key Building Blocks</t>
  </si>
  <si>
    <t>Amir, Sayed Mohammad</t>
  </si>
  <si>
    <t>384.54</t>
  </si>
  <si>
    <t>https://ebookcentral.proquest.com/lib/ungli/detail.action?docID=31022940</t>
  </si>
  <si>
    <t>Social Formations in the Ancient World : From Evolution of Humans to the Greek Civilisation</t>
  </si>
  <si>
    <t>Kumar, Rakesh</t>
  </si>
  <si>
    <t>Doing Digital : Lessons Learned on How to Do and Be Digital</t>
  </si>
  <si>
    <t>Ambrozie, Tony</t>
  </si>
  <si>
    <t>HD30.2.A45</t>
  </si>
  <si>
    <t>https://ebookcentral.proquest.com/lib/ungli/detail.action?docID=31053125</t>
  </si>
  <si>
    <t>Absolute Essentials of International Economics</t>
  </si>
  <si>
    <t>Sadler, Thomas R.</t>
  </si>
  <si>
    <t>Viking Heritage and History in Europe : Practices and Re-Creations</t>
  </si>
  <si>
    <t>Ellis Nilsson, Sara</t>
  </si>
  <si>
    <t>How Autocrats Seek Power : Resistance to Trump and Trumpism</t>
  </si>
  <si>
    <t>Abel, Richard L.</t>
  </si>
  <si>
    <t>E912 .A245 2024</t>
  </si>
  <si>
    <t>Presidents-United States.</t>
  </si>
  <si>
    <t>https://ebookcentral.proquest.com/lib/ungli/detail.action?docID=31104106</t>
  </si>
  <si>
    <t>Curated Fiction : Novel Writing in Theory and Practice</t>
  </si>
  <si>
    <t>Hindrum, Cameron</t>
  </si>
  <si>
    <t>PN3383.N35 H563 2024</t>
  </si>
  <si>
    <t>808/.036</t>
  </si>
  <si>
    <t xml:space="preserve">Narration (Rhetoric) </t>
  </si>
  <si>
    <t>Yehudáh ha-Maccabí</t>
  </si>
  <si>
    <t>Aparicio Campillo, Juan Pablo</t>
  </si>
  <si>
    <t>Segundos de miel</t>
  </si>
  <si>
    <t>Tres Maneras de Decir Adiós</t>
  </si>
  <si>
    <t>The Humachine : AI, Human Virtues, and the Superintelligent Enterprise</t>
  </si>
  <si>
    <t>Sanders, Nada R.</t>
  </si>
  <si>
    <t>Foreign Aid in a World in Crisis : Shifting Geopolitics in the Neoliberal Era</t>
  </si>
  <si>
    <t>Jakupec, Viktor</t>
  </si>
  <si>
    <t>Crowdfunding European Business</t>
  </si>
  <si>
    <t>Cicchiello, Antonella Francesca</t>
  </si>
  <si>
    <t>HG4751 .C533 2024</t>
  </si>
  <si>
    <t xml:space="preserve">Business enterprises-Europe Finance. </t>
  </si>
  <si>
    <t>Entangled Histories in Palestine/Israel : Historical and Anthropological Perspectives</t>
  </si>
  <si>
    <t>Hirsch, Dafna</t>
  </si>
  <si>
    <t>Peter Drucker and Management</t>
  </si>
  <si>
    <t>Linkletter, Karen E.</t>
  </si>
  <si>
    <t>HD31.D776 L565 2024</t>
  </si>
  <si>
    <t xml:space="preserve">Drucker, Peter F.-(Peter Ferdinand),-1909-2005. </t>
  </si>
  <si>
    <t>La Península de Las Casas Vacías</t>
  </si>
  <si>
    <t>Uclés, David</t>
  </si>
  <si>
    <t>Financial Social Innovations : A New Framework to Understand the Social Innovations Disrupting the World of Finance, from Crowdfunding to Bitcoin</t>
  </si>
  <si>
    <t>Lanteri, Alessandro</t>
  </si>
  <si>
    <t>Work and Labor in American Popular Culture : Representation in Film, Music and Television in the 1970s And 1980s</t>
  </si>
  <si>
    <t>Russell, Jason</t>
  </si>
  <si>
    <t>https://ebookcentral.proquest.com/lib/ungli/detail.action?docID=31225756</t>
  </si>
  <si>
    <t>Craft As a Creative Industry</t>
  </si>
  <si>
    <t>Patel, Karen</t>
  </si>
  <si>
    <t>The Economics of Libraries</t>
  </si>
  <si>
    <t>Martorana, Marco Ferdinando</t>
  </si>
  <si>
    <t>Luxury Brand and Art Collaborations : Postmodern Consumer Culture</t>
  </si>
  <si>
    <t>Carlotto, Federica</t>
  </si>
  <si>
    <t>The Routledge Handbook of Trans Literature</t>
  </si>
  <si>
    <t>Vakoch, Douglas A.</t>
  </si>
  <si>
    <t>Indian Gold Jewellery Industry : Culture and Consumption</t>
  </si>
  <si>
    <t>Raha, Sylvia</t>
  </si>
  <si>
    <t>Artificial Intelligence and Project Management : An Integrated Approach to Knowledge-Based Evaluation</t>
  </si>
  <si>
    <t>Grzeszczyk, Tadeusz A.</t>
  </si>
  <si>
    <t>658.4/04028563</t>
  </si>
  <si>
    <t>https://ebookcentral.proquest.com/lib/ungli/detail.action?docID=31289926</t>
  </si>
  <si>
    <t>The French Revolution and Napoleon : A Sourcebook</t>
  </si>
  <si>
    <t>Dwyer, Philip</t>
  </si>
  <si>
    <t>The Forgotten Political Elites of North Korea : Woe to the Vanquished</t>
  </si>
  <si>
    <t>Tertitskiy, Fyodor</t>
  </si>
  <si>
    <t>https://ebookcentral.proquest.com/lib/ungli/detail.action?docID=31309125</t>
  </si>
  <si>
    <t>Open Data for Everybody : Using Open Data for Social Good</t>
  </si>
  <si>
    <t>Coyle, Nathan</t>
  </si>
  <si>
    <t>International Business and Culture : Challenges in Cross-Cultural Marketing and Management</t>
  </si>
  <si>
    <t>Bartosik-Purgat, Małgorzata</t>
  </si>
  <si>
    <t>Women in Eastern European Post-Socialist Countries : Social, Scientific, and Political Lives</t>
  </si>
  <si>
    <t>Kasińska-Metryka, Agnieszka</t>
  </si>
  <si>
    <t>Social Media in the Fashion Industry : Fundamentals, Strategy and Research Methods</t>
  </si>
  <si>
    <t>SanMiguel, Patricia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</si>
</sst>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3" fontId="0" fillId="0" borderId="0" xfId="0" applyNumberFormat="1"/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1"/>
  <sheetViews>
    <sheetView tabSelected="1" topLeftCell="A148" workbookViewId="0">
      <selection activeCell="B166" sqref="B166"/>
    </sheetView>
  </sheetViews>
  <sheetFormatPr defaultRowHeight="15" x14ac:dyDescent="0.25"/>
  <cols>
    <col min="2" max="2" width="126.140625" customWidth="1"/>
    <col min="3" max="4" width="14.140625" bestFit="1" customWidth="1"/>
    <col min="5" max="5" width="15.28515625" bestFit="1" customWidth="1"/>
    <col min="6" max="6" width="11.42578125" bestFit="1" customWidth="1"/>
    <col min="7" max="7" width="28.85546875" bestFit="1" customWidth="1"/>
    <col min="8" max="8" width="21.7109375" bestFit="1" customWidth="1"/>
    <col min="11" max="11" width="60.5703125" bestFit="1" customWidth="1"/>
  </cols>
  <sheetData>
    <row r="1" spans="1:21" x14ac:dyDescent="0.25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</row>
    <row r="2" spans="1:21" x14ac:dyDescent="0.25">
      <c r="A2">
        <v>3415240</v>
      </c>
      <c r="B2" t="s">
        <v>509</v>
      </c>
      <c r="C2" t="str">
        <f>"9789086862283"</f>
        <v>9789086862283</v>
      </c>
      <c r="D2" t="str">
        <f>"9789086867820"</f>
        <v>9789086867820</v>
      </c>
      <c r="E2" s="1">
        <v>41501</v>
      </c>
      <c r="F2" s="1">
        <v>41550</v>
      </c>
      <c r="G2" t="s">
        <v>510</v>
      </c>
      <c r="H2" t="s">
        <v>511</v>
      </c>
      <c r="I2" t="s">
        <v>512</v>
      </c>
      <c r="J2">
        <v>636</v>
      </c>
      <c r="K2" t="s">
        <v>513</v>
      </c>
    </row>
    <row r="3" spans="1:21" x14ac:dyDescent="0.25">
      <c r="A3">
        <v>3445621</v>
      </c>
      <c r="B3" t="s">
        <v>514</v>
      </c>
      <c r="C3" t="str">
        <f>"9789086862672"</f>
        <v>9789086862672</v>
      </c>
      <c r="D3" t="str">
        <f>"9789086868148"</f>
        <v>9789086868148</v>
      </c>
      <c r="E3" s="1">
        <v>42186</v>
      </c>
      <c r="F3" s="1">
        <v>42194</v>
      </c>
      <c r="G3" t="s">
        <v>515</v>
      </c>
      <c r="H3" t="s">
        <v>511</v>
      </c>
      <c r="I3" t="s">
        <v>516</v>
      </c>
      <c r="J3">
        <v>631</v>
      </c>
      <c r="K3" t="s">
        <v>517</v>
      </c>
      <c r="L3" t="s">
        <v>38</v>
      </c>
      <c r="M3" t="s">
        <v>39</v>
      </c>
      <c r="N3" t="s">
        <v>40</v>
      </c>
      <c r="O3" t="s">
        <v>40</v>
      </c>
      <c r="P3" t="s">
        <v>39</v>
      </c>
      <c r="Q3" t="s">
        <v>39</v>
      </c>
      <c r="R3" t="s">
        <v>40</v>
      </c>
      <c r="S3" t="s">
        <v>39</v>
      </c>
      <c r="T3" t="s">
        <v>40</v>
      </c>
      <c r="U3" t="s">
        <v>518</v>
      </c>
    </row>
    <row r="4" spans="1:21" x14ac:dyDescent="0.25">
      <c r="A4">
        <v>165004</v>
      </c>
      <c r="B4" t="s">
        <v>23</v>
      </c>
      <c r="C4" t="str">
        <f>"9780415042000"</f>
        <v>9780415042000</v>
      </c>
      <c r="D4" t="str">
        <f>"9780203133910"</f>
        <v>9780203133910</v>
      </c>
      <c r="E4" s="1">
        <v>34435</v>
      </c>
      <c r="F4" s="1">
        <v>38169</v>
      </c>
      <c r="G4" t="s">
        <v>24</v>
      </c>
      <c r="H4" t="s">
        <v>25</v>
      </c>
    </row>
    <row r="5" spans="1:21" x14ac:dyDescent="0.25">
      <c r="A5">
        <v>435304</v>
      </c>
      <c r="B5" t="s">
        <v>74</v>
      </c>
      <c r="C5" t="str">
        <f>"9780750689052"</f>
        <v>9780750689052</v>
      </c>
      <c r="D5" t="str">
        <f>"9780080943329"</f>
        <v>9780080943329</v>
      </c>
      <c r="E5" s="1">
        <v>39960</v>
      </c>
      <c r="F5" s="1">
        <v>39961</v>
      </c>
      <c r="G5" t="s">
        <v>75</v>
      </c>
      <c r="H5" t="s">
        <v>25</v>
      </c>
      <c r="I5" t="s">
        <v>76</v>
      </c>
      <c r="J5" s="2">
        <v>6584013</v>
      </c>
      <c r="K5" t="s">
        <v>77</v>
      </c>
    </row>
    <row r="6" spans="1:21" x14ac:dyDescent="0.25">
      <c r="A6">
        <v>517198</v>
      </c>
      <c r="B6" t="s">
        <v>83</v>
      </c>
      <c r="C6" t="str">
        <f>"9781844075577"</f>
        <v>9781844075577</v>
      </c>
      <c r="D6" t="str">
        <f>"9781849774826"</f>
        <v>9781849774826</v>
      </c>
      <c r="E6" s="1">
        <v>40228</v>
      </c>
      <c r="F6" s="1">
        <v>40291</v>
      </c>
      <c r="G6" t="s">
        <v>84</v>
      </c>
      <c r="H6" t="s">
        <v>25</v>
      </c>
      <c r="I6" t="s">
        <v>85</v>
      </c>
      <c r="J6" t="s">
        <v>86</v>
      </c>
      <c r="K6" t="s">
        <v>87</v>
      </c>
      <c r="L6" t="s">
        <v>38</v>
      </c>
      <c r="M6" t="s">
        <v>39</v>
      </c>
      <c r="N6" t="s">
        <v>40</v>
      </c>
      <c r="O6" t="s">
        <v>40</v>
      </c>
      <c r="P6" t="s">
        <v>39</v>
      </c>
      <c r="Q6" t="s">
        <v>39</v>
      </c>
      <c r="R6" t="s">
        <v>40</v>
      </c>
      <c r="S6" t="s">
        <v>39</v>
      </c>
      <c r="T6" t="s">
        <v>40</v>
      </c>
      <c r="U6" t="s">
        <v>88</v>
      </c>
    </row>
    <row r="7" spans="1:21" x14ac:dyDescent="0.25">
      <c r="A7">
        <v>548910</v>
      </c>
      <c r="B7" t="s">
        <v>93</v>
      </c>
      <c r="C7" t="str">
        <f>"9780080465296"</f>
        <v>9780080465296</v>
      </c>
      <c r="D7" t="str">
        <f>"9780080492636"</f>
        <v>9780080492636</v>
      </c>
      <c r="E7" s="1">
        <v>39170</v>
      </c>
      <c r="F7" s="1">
        <v>40568</v>
      </c>
      <c r="G7" t="s">
        <v>94</v>
      </c>
      <c r="H7" t="s">
        <v>25</v>
      </c>
      <c r="I7" t="s">
        <v>95</v>
      </c>
      <c r="J7" t="s">
        <v>96</v>
      </c>
      <c r="K7" t="s">
        <v>97</v>
      </c>
      <c r="L7" t="s">
        <v>38</v>
      </c>
      <c r="M7" t="s">
        <v>39</v>
      </c>
      <c r="N7" t="s">
        <v>40</v>
      </c>
      <c r="O7" t="s">
        <v>40</v>
      </c>
      <c r="P7" t="s">
        <v>39</v>
      </c>
      <c r="Q7" t="s">
        <v>39</v>
      </c>
      <c r="R7" t="s">
        <v>40</v>
      </c>
      <c r="S7" t="s">
        <v>39</v>
      </c>
      <c r="T7" t="s">
        <v>40</v>
      </c>
      <c r="U7" t="s">
        <v>98</v>
      </c>
    </row>
    <row r="8" spans="1:21" x14ac:dyDescent="0.25">
      <c r="A8">
        <v>1016057</v>
      </c>
      <c r="B8" t="s">
        <v>128</v>
      </c>
      <c r="C8" t="str">
        <f>"9780750620253"</f>
        <v>9780750620253</v>
      </c>
      <c r="D8" t="str">
        <f>"9781136008740"</f>
        <v>9781136008740</v>
      </c>
      <c r="E8" s="1">
        <v>38294</v>
      </c>
      <c r="F8" s="1">
        <v>41157</v>
      </c>
      <c r="G8" t="s">
        <v>129</v>
      </c>
      <c r="H8" t="s">
        <v>25</v>
      </c>
    </row>
    <row r="9" spans="1:21" x14ac:dyDescent="0.25">
      <c r="A9">
        <v>1020272</v>
      </c>
      <c r="B9" t="s">
        <v>130</v>
      </c>
      <c r="C9" t="str">
        <f>"9781849713344"</f>
        <v>9781849713344</v>
      </c>
      <c r="D9" t="str">
        <f>"9781136529214"</f>
        <v>9781136529214</v>
      </c>
      <c r="E9" s="1">
        <v>40765</v>
      </c>
      <c r="F9" s="1">
        <v>41160</v>
      </c>
      <c r="G9" t="s">
        <v>131</v>
      </c>
      <c r="H9" t="s">
        <v>25</v>
      </c>
      <c r="I9" t="s">
        <v>132</v>
      </c>
      <c r="J9" t="s">
        <v>133</v>
      </c>
      <c r="K9" t="s">
        <v>134</v>
      </c>
      <c r="L9" t="s">
        <v>38</v>
      </c>
      <c r="M9" t="s">
        <v>39</v>
      </c>
      <c r="N9" t="s">
        <v>40</v>
      </c>
      <c r="O9" t="s">
        <v>40</v>
      </c>
      <c r="P9" t="s">
        <v>39</v>
      </c>
      <c r="Q9" t="s">
        <v>39</v>
      </c>
      <c r="R9" t="s">
        <v>40</v>
      </c>
      <c r="S9" t="s">
        <v>39</v>
      </c>
      <c r="T9" t="s">
        <v>40</v>
      </c>
      <c r="U9" t="s">
        <v>135</v>
      </c>
    </row>
    <row r="10" spans="1:21" x14ac:dyDescent="0.25">
      <c r="A10">
        <v>1024589</v>
      </c>
      <c r="B10" t="s">
        <v>142</v>
      </c>
      <c r="C10" t="str">
        <f>"9780750699563"</f>
        <v>9780750699563</v>
      </c>
      <c r="D10" t="str">
        <f>"9781136010989"</f>
        <v>9781136010989</v>
      </c>
      <c r="E10" s="1">
        <v>35723</v>
      </c>
      <c r="F10" s="1">
        <v>41166</v>
      </c>
      <c r="G10" t="s">
        <v>143</v>
      </c>
      <c r="H10" t="s">
        <v>25</v>
      </c>
      <c r="I10" t="s">
        <v>144</v>
      </c>
      <c r="J10" s="2">
        <v>6584092</v>
      </c>
      <c r="K10" t="s">
        <v>145</v>
      </c>
      <c r="L10" t="s">
        <v>38</v>
      </c>
      <c r="M10" t="s">
        <v>39</v>
      </c>
      <c r="N10" t="s">
        <v>40</v>
      </c>
      <c r="O10" t="s">
        <v>40</v>
      </c>
      <c r="P10" t="s">
        <v>39</v>
      </c>
      <c r="Q10" t="s">
        <v>39</v>
      </c>
      <c r="R10" t="s">
        <v>40</v>
      </c>
      <c r="S10" t="s">
        <v>39</v>
      </c>
      <c r="T10" t="s">
        <v>40</v>
      </c>
      <c r="U10" t="s">
        <v>146</v>
      </c>
    </row>
    <row r="11" spans="1:21" x14ac:dyDescent="0.25">
      <c r="A11">
        <v>1344636</v>
      </c>
      <c r="B11" t="s">
        <v>199</v>
      </c>
      <c r="C11" t="str">
        <f>"9780415675840"</f>
        <v>9780415675840</v>
      </c>
      <c r="D11" t="str">
        <f>"9781135089672"</f>
        <v>9781135089672</v>
      </c>
      <c r="E11" s="1">
        <v>41549</v>
      </c>
      <c r="F11" s="1">
        <v>41506</v>
      </c>
      <c r="G11" t="s">
        <v>200</v>
      </c>
      <c r="H11" t="s">
        <v>25</v>
      </c>
    </row>
    <row r="12" spans="1:21" x14ac:dyDescent="0.25">
      <c r="A12">
        <v>1524235</v>
      </c>
      <c r="B12" t="s">
        <v>265</v>
      </c>
      <c r="C12" t="str">
        <f>"9780415812306"</f>
        <v>9780415812306</v>
      </c>
      <c r="D12" t="str">
        <f>"9781136016967"</f>
        <v>9781136016967</v>
      </c>
      <c r="E12" s="1">
        <v>41451</v>
      </c>
      <c r="F12" s="1">
        <v>41617</v>
      </c>
      <c r="G12" t="s">
        <v>266</v>
      </c>
      <c r="H12" t="s">
        <v>25</v>
      </c>
      <c r="I12" t="s">
        <v>267</v>
      </c>
      <c r="J12" s="2">
        <v>659143</v>
      </c>
      <c r="K12" t="s">
        <v>268</v>
      </c>
      <c r="L12" t="s">
        <v>38</v>
      </c>
      <c r="M12" t="s">
        <v>39</v>
      </c>
      <c r="N12" t="s">
        <v>40</v>
      </c>
      <c r="O12" t="s">
        <v>40</v>
      </c>
      <c r="P12" t="s">
        <v>39</v>
      </c>
      <c r="Q12" t="s">
        <v>39</v>
      </c>
      <c r="R12" t="s">
        <v>40</v>
      </c>
      <c r="S12" t="s">
        <v>39</v>
      </c>
      <c r="T12" t="s">
        <v>40</v>
      </c>
      <c r="U12" t="s">
        <v>269</v>
      </c>
    </row>
    <row r="13" spans="1:21" x14ac:dyDescent="0.25">
      <c r="A13">
        <v>1542883</v>
      </c>
      <c r="B13" t="s">
        <v>270</v>
      </c>
      <c r="C13" t="str">
        <f>"9780415378697"</f>
        <v>9780415378697</v>
      </c>
      <c r="D13" t="str">
        <f>"9781136588952"</f>
        <v>9781136588952</v>
      </c>
      <c r="E13" s="1">
        <v>38824</v>
      </c>
      <c r="F13" s="1">
        <v>41607</v>
      </c>
      <c r="G13" t="s">
        <v>271</v>
      </c>
      <c r="H13" t="s">
        <v>25</v>
      </c>
    </row>
    <row r="14" spans="1:21" x14ac:dyDescent="0.25">
      <c r="A14">
        <v>2027529</v>
      </c>
      <c r="B14" t="s">
        <v>480</v>
      </c>
      <c r="C14" t="str">
        <f>"9780765625526"</f>
        <v>9780765625526</v>
      </c>
      <c r="D14" t="str">
        <f>"9781317477686"</f>
        <v>9781317477686</v>
      </c>
      <c r="E14" s="1">
        <v>40770</v>
      </c>
      <c r="F14" s="1">
        <v>42114</v>
      </c>
      <c r="G14" t="s">
        <v>481</v>
      </c>
      <c r="H14" t="s">
        <v>25</v>
      </c>
      <c r="I14" t="s">
        <v>482</v>
      </c>
      <c r="J14" s="2">
        <v>659113</v>
      </c>
      <c r="K14" t="s">
        <v>483</v>
      </c>
      <c r="L14" t="s">
        <v>38</v>
      </c>
      <c r="M14" t="s">
        <v>39</v>
      </c>
      <c r="N14" t="s">
        <v>40</v>
      </c>
      <c r="O14" t="s">
        <v>40</v>
      </c>
      <c r="P14" t="s">
        <v>39</v>
      </c>
      <c r="Q14" t="s">
        <v>39</v>
      </c>
      <c r="R14" t="s">
        <v>40</v>
      </c>
      <c r="S14" t="s">
        <v>39</v>
      </c>
      <c r="T14" t="s">
        <v>40</v>
      </c>
      <c r="U14" t="s">
        <v>484</v>
      </c>
    </row>
    <row r="15" spans="1:21" x14ac:dyDescent="0.25">
      <c r="A15">
        <v>4014349</v>
      </c>
      <c r="B15" t="s">
        <v>532</v>
      </c>
      <c r="C15" t="str">
        <f>"9780203798799"</f>
        <v>9780203798799</v>
      </c>
      <c r="D15" t="str">
        <f>"9781135786175"</f>
        <v>9781135786175</v>
      </c>
      <c r="E15" s="1">
        <v>42263</v>
      </c>
      <c r="F15" s="1">
        <v>42305</v>
      </c>
      <c r="G15" t="s">
        <v>533</v>
      </c>
      <c r="H15" t="s">
        <v>25</v>
      </c>
    </row>
    <row r="16" spans="1:21" x14ac:dyDescent="0.25">
      <c r="A16">
        <v>4218777</v>
      </c>
      <c r="B16" t="s">
        <v>561</v>
      </c>
      <c r="C16" t="str">
        <f>"9780415735025"</f>
        <v>9780415735025</v>
      </c>
      <c r="D16" t="str">
        <f>"9781317819981"</f>
        <v>9781317819981</v>
      </c>
      <c r="E16" s="1">
        <v>42342</v>
      </c>
      <c r="F16" s="1">
        <v>42367</v>
      </c>
      <c r="G16" t="s">
        <v>562</v>
      </c>
      <c r="H16" t="s">
        <v>25</v>
      </c>
      <c r="I16" t="s">
        <v>563</v>
      </c>
      <c r="J16" t="s">
        <v>564</v>
      </c>
      <c r="K16" t="s">
        <v>565</v>
      </c>
      <c r="L16" t="s">
        <v>38</v>
      </c>
      <c r="M16" t="s">
        <v>39</v>
      </c>
      <c r="N16" t="s">
        <v>40</v>
      </c>
      <c r="O16" t="s">
        <v>40</v>
      </c>
      <c r="P16" t="s">
        <v>39</v>
      </c>
      <c r="Q16" t="s">
        <v>39</v>
      </c>
      <c r="R16" t="s">
        <v>40</v>
      </c>
      <c r="S16" t="s">
        <v>39</v>
      </c>
      <c r="T16" t="s">
        <v>40</v>
      </c>
      <c r="U16" t="s">
        <v>566</v>
      </c>
    </row>
    <row r="17" spans="1:21" x14ac:dyDescent="0.25">
      <c r="A17">
        <v>4335104</v>
      </c>
      <c r="B17" t="s">
        <v>569</v>
      </c>
      <c r="C17" t="str">
        <f>"9781138641570"</f>
        <v>9781138641570</v>
      </c>
      <c r="D17" t="str">
        <f>"9781317246954"</f>
        <v>9781317246954</v>
      </c>
      <c r="E17" s="1">
        <v>42404</v>
      </c>
      <c r="F17" s="1">
        <v>42384</v>
      </c>
      <c r="G17" t="s">
        <v>570</v>
      </c>
      <c r="H17" t="s">
        <v>25</v>
      </c>
      <c r="I17" t="s">
        <v>571</v>
      </c>
      <c r="J17" s="2">
        <v>6581511</v>
      </c>
      <c r="K17" t="s">
        <v>572</v>
      </c>
      <c r="L17" t="s">
        <v>38</v>
      </c>
      <c r="M17" t="s">
        <v>39</v>
      </c>
      <c r="N17" t="s">
        <v>40</v>
      </c>
      <c r="O17" t="s">
        <v>40</v>
      </c>
      <c r="P17" t="s">
        <v>39</v>
      </c>
      <c r="Q17" t="s">
        <v>39</v>
      </c>
      <c r="R17" t="s">
        <v>40</v>
      </c>
      <c r="S17" t="s">
        <v>39</v>
      </c>
      <c r="T17" t="s">
        <v>40</v>
      </c>
      <c r="U17" t="s">
        <v>573</v>
      </c>
    </row>
    <row r="18" spans="1:21" x14ac:dyDescent="0.25">
      <c r="A18">
        <v>4865756</v>
      </c>
      <c r="B18" t="s">
        <v>675</v>
      </c>
      <c r="C18" t="str">
        <f>"9780415786409"</f>
        <v>9780415786409</v>
      </c>
      <c r="D18" t="str">
        <f>"9781351853200"</f>
        <v>9781351853200</v>
      </c>
      <c r="E18" s="1">
        <v>42881</v>
      </c>
      <c r="F18" s="1">
        <v>42881</v>
      </c>
      <c r="G18" t="s">
        <v>676</v>
      </c>
      <c r="H18" t="s">
        <v>25</v>
      </c>
      <c r="I18" t="s">
        <v>677</v>
      </c>
      <c r="J18" s="2">
        <v>658303</v>
      </c>
      <c r="K18" t="s">
        <v>678</v>
      </c>
      <c r="L18" t="s">
        <v>38</v>
      </c>
      <c r="M18" t="s">
        <v>39</v>
      </c>
      <c r="N18" t="s">
        <v>40</v>
      </c>
      <c r="O18" t="s">
        <v>40</v>
      </c>
      <c r="P18" t="s">
        <v>39</v>
      </c>
      <c r="Q18" t="s">
        <v>39</v>
      </c>
      <c r="R18" t="s">
        <v>40</v>
      </c>
      <c r="S18" t="s">
        <v>39</v>
      </c>
      <c r="T18" t="s">
        <v>40</v>
      </c>
      <c r="U18" t="s">
        <v>679</v>
      </c>
    </row>
    <row r="19" spans="1:21" x14ac:dyDescent="0.25">
      <c r="A19">
        <v>5744726</v>
      </c>
      <c r="B19" t="s">
        <v>825</v>
      </c>
      <c r="C19" t="str">
        <f>"9781138565074"</f>
        <v>9781138565074</v>
      </c>
      <c r="D19" t="str">
        <f>"9781351345934"</f>
        <v>9781351345934</v>
      </c>
      <c r="E19" s="1">
        <v>43570</v>
      </c>
      <c r="F19" s="1">
        <v>43559</v>
      </c>
      <c r="G19" t="s">
        <v>826</v>
      </c>
      <c r="H19" t="s">
        <v>25</v>
      </c>
      <c r="I19" t="s">
        <v>827</v>
      </c>
      <c r="J19" s="2">
        <v>6584013</v>
      </c>
      <c r="K19" t="s">
        <v>828</v>
      </c>
    </row>
    <row r="20" spans="1:21" x14ac:dyDescent="0.25">
      <c r="A20">
        <v>5975356</v>
      </c>
      <c r="B20" t="s">
        <v>958</v>
      </c>
      <c r="C20" t="str">
        <f>"9780367365318"</f>
        <v>9780367365318</v>
      </c>
      <c r="D20" t="str">
        <f>"9781000698473"</f>
        <v>9781000698473</v>
      </c>
      <c r="E20" s="1">
        <v>43780</v>
      </c>
      <c r="F20" s="1">
        <v>43781</v>
      </c>
      <c r="G20" t="s">
        <v>959</v>
      </c>
      <c r="H20" t="s">
        <v>25</v>
      </c>
    </row>
    <row r="21" spans="1:21" x14ac:dyDescent="0.25">
      <c r="A21">
        <v>5981643</v>
      </c>
      <c r="B21" t="s">
        <v>962</v>
      </c>
      <c r="C21" t="str">
        <f>"9781138173071"</f>
        <v>9781138173071</v>
      </c>
      <c r="D21" t="str">
        <f>"9781000035490"</f>
        <v>9781000035490</v>
      </c>
      <c r="E21" s="1">
        <v>41040</v>
      </c>
      <c r="F21" s="1">
        <v>43790</v>
      </c>
      <c r="G21" t="s">
        <v>963</v>
      </c>
      <c r="H21" t="s">
        <v>25</v>
      </c>
      <c r="I21" t="s">
        <v>964</v>
      </c>
      <c r="J21" s="2">
        <v>6584012</v>
      </c>
      <c r="K21" t="s">
        <v>965</v>
      </c>
      <c r="L21" t="s">
        <v>38</v>
      </c>
      <c r="M21" t="s">
        <v>39</v>
      </c>
      <c r="N21" t="s">
        <v>40</v>
      </c>
      <c r="O21" t="s">
        <v>40</v>
      </c>
      <c r="P21" t="s">
        <v>39</v>
      </c>
      <c r="Q21" t="s">
        <v>39</v>
      </c>
      <c r="R21" t="s">
        <v>40</v>
      </c>
      <c r="S21" t="s">
        <v>39</v>
      </c>
      <c r="T21" t="s">
        <v>40</v>
      </c>
      <c r="U21" t="s">
        <v>966</v>
      </c>
    </row>
    <row r="22" spans="1:21" x14ac:dyDescent="0.25">
      <c r="A22">
        <v>6887276</v>
      </c>
      <c r="B22" t="s">
        <v>1096</v>
      </c>
      <c r="C22" t="str">
        <f>"9780367775131"</f>
        <v>9780367775131</v>
      </c>
      <c r="D22" t="str">
        <f>"9781000543278"</f>
        <v>9781000543278</v>
      </c>
      <c r="E22" s="1">
        <v>44623</v>
      </c>
      <c r="F22" s="1">
        <v>44606</v>
      </c>
      <c r="G22" t="s">
        <v>1097</v>
      </c>
      <c r="H22" t="s">
        <v>25</v>
      </c>
      <c r="I22" t="s">
        <v>1098</v>
      </c>
      <c r="J22">
        <v>658</v>
      </c>
      <c r="K22" t="s">
        <v>1099</v>
      </c>
      <c r="L22" t="s">
        <v>38</v>
      </c>
      <c r="M22" t="s">
        <v>39</v>
      </c>
      <c r="N22" t="s">
        <v>40</v>
      </c>
      <c r="O22" t="s">
        <v>40</v>
      </c>
      <c r="P22" t="s">
        <v>39</v>
      </c>
      <c r="Q22" t="s">
        <v>39</v>
      </c>
      <c r="R22" t="s">
        <v>40</v>
      </c>
      <c r="S22" t="s">
        <v>39</v>
      </c>
      <c r="T22" t="s">
        <v>40</v>
      </c>
      <c r="U22" t="s">
        <v>1100</v>
      </c>
    </row>
    <row r="23" spans="1:21" x14ac:dyDescent="0.25">
      <c r="A23">
        <v>7075885</v>
      </c>
      <c r="B23" t="s">
        <v>1129</v>
      </c>
      <c r="C23" t="str">
        <f>"9781032313443"</f>
        <v>9781032313443</v>
      </c>
      <c r="D23" t="str">
        <f>"9781000781458"</f>
        <v>9781000781458</v>
      </c>
      <c r="E23" s="1">
        <v>44876</v>
      </c>
      <c r="F23" s="1">
        <v>44793</v>
      </c>
      <c r="G23" t="s">
        <v>1130</v>
      </c>
      <c r="H23" t="s">
        <v>25</v>
      </c>
      <c r="I23" t="s">
        <v>1131</v>
      </c>
      <c r="J23" s="2">
        <v>658812</v>
      </c>
      <c r="K23" t="s">
        <v>1132</v>
      </c>
      <c r="L23" t="s">
        <v>38</v>
      </c>
      <c r="M23" t="s">
        <v>39</v>
      </c>
      <c r="N23" t="s">
        <v>40</v>
      </c>
      <c r="O23" t="s">
        <v>40</v>
      </c>
      <c r="P23" t="s">
        <v>39</v>
      </c>
      <c r="Q23" t="s">
        <v>39</v>
      </c>
      <c r="R23" t="s">
        <v>40</v>
      </c>
      <c r="S23" t="s">
        <v>39</v>
      </c>
      <c r="T23" t="s">
        <v>40</v>
      </c>
      <c r="U23" t="s">
        <v>1133</v>
      </c>
    </row>
    <row r="24" spans="1:21" x14ac:dyDescent="0.25">
      <c r="A24">
        <v>7205401</v>
      </c>
      <c r="B24" t="s">
        <v>1252</v>
      </c>
      <c r="C24" t="str">
        <f>"9780367695712"</f>
        <v>9780367695712</v>
      </c>
      <c r="D24" t="str">
        <f>"9781000863307"</f>
        <v>9781000863307</v>
      </c>
      <c r="E24" s="1">
        <v>45017</v>
      </c>
      <c r="F24" s="1">
        <v>44982</v>
      </c>
      <c r="G24" t="s">
        <v>1253</v>
      </c>
      <c r="H24" t="s">
        <v>25</v>
      </c>
      <c r="I24" t="s">
        <v>1254</v>
      </c>
      <c r="J24" t="s">
        <v>1255</v>
      </c>
      <c r="K24" t="s">
        <v>1256</v>
      </c>
    </row>
    <row r="25" spans="1:21" x14ac:dyDescent="0.25">
      <c r="A25">
        <v>7263893</v>
      </c>
      <c r="B25" t="s">
        <v>1331</v>
      </c>
      <c r="C25" t="str">
        <f>"9781032464626"</f>
        <v>9781032464626</v>
      </c>
      <c r="D25" t="str">
        <f>"9781000946871"</f>
        <v>9781000946871</v>
      </c>
      <c r="E25" s="1">
        <v>45106</v>
      </c>
      <c r="F25" s="1">
        <v>45098</v>
      </c>
      <c r="G25" t="s">
        <v>1332</v>
      </c>
      <c r="H25" t="s">
        <v>25</v>
      </c>
      <c r="I25" t="s">
        <v>1333</v>
      </c>
      <c r="J25" s="2">
        <v>6583124</v>
      </c>
      <c r="K25" t="s">
        <v>1334</v>
      </c>
      <c r="L25" t="s">
        <v>38</v>
      </c>
      <c r="M25" t="s">
        <v>39</v>
      </c>
      <c r="N25" t="s">
        <v>40</v>
      </c>
      <c r="O25" t="s">
        <v>40</v>
      </c>
      <c r="P25" t="s">
        <v>39</v>
      </c>
      <c r="Q25" t="s">
        <v>39</v>
      </c>
      <c r="R25" t="s">
        <v>40</v>
      </c>
      <c r="S25" t="s">
        <v>40</v>
      </c>
      <c r="T25" t="s">
        <v>40</v>
      </c>
      <c r="U25" t="s">
        <v>1335</v>
      </c>
    </row>
    <row r="26" spans="1:21" x14ac:dyDescent="0.25">
      <c r="A26">
        <v>7266669</v>
      </c>
      <c r="B26" t="s">
        <v>1349</v>
      </c>
      <c r="C26" t="str">
        <f>"9781032428093"</f>
        <v>9781032428093</v>
      </c>
      <c r="D26" t="str">
        <f>"9781000967630"</f>
        <v>9781000967630</v>
      </c>
      <c r="E26" s="1">
        <v>45125</v>
      </c>
      <c r="F26" s="1">
        <v>45108</v>
      </c>
      <c r="G26" t="s">
        <v>1350</v>
      </c>
      <c r="H26" t="s">
        <v>25</v>
      </c>
      <c r="I26" t="s">
        <v>1351</v>
      </c>
      <c r="J26" s="2">
        <v>65815224</v>
      </c>
      <c r="K26" t="s">
        <v>1352</v>
      </c>
      <c r="L26" t="s">
        <v>38</v>
      </c>
      <c r="M26" t="s">
        <v>39</v>
      </c>
      <c r="N26" t="s">
        <v>40</v>
      </c>
      <c r="O26" t="s">
        <v>40</v>
      </c>
      <c r="P26" t="s">
        <v>39</v>
      </c>
      <c r="Q26" t="s">
        <v>39</v>
      </c>
      <c r="R26" t="s">
        <v>40</v>
      </c>
      <c r="S26" t="s">
        <v>40</v>
      </c>
      <c r="T26" t="s">
        <v>40</v>
      </c>
      <c r="U26" t="s">
        <v>1353</v>
      </c>
    </row>
    <row r="27" spans="1:21" x14ac:dyDescent="0.25">
      <c r="A27">
        <v>7278781</v>
      </c>
      <c r="B27" t="s">
        <v>1382</v>
      </c>
      <c r="C27" t="str">
        <f>"9781032412399"</f>
        <v>9781032412399</v>
      </c>
      <c r="D27" t="str">
        <f>"9781000994773"</f>
        <v>9781000994773</v>
      </c>
      <c r="E27" s="1">
        <v>45170</v>
      </c>
      <c r="F27" s="1">
        <v>45143</v>
      </c>
      <c r="G27" t="s">
        <v>1383</v>
      </c>
      <c r="H27" t="s">
        <v>25</v>
      </c>
      <c r="I27" t="s">
        <v>1384</v>
      </c>
      <c r="J27" t="s">
        <v>1385</v>
      </c>
      <c r="K27" t="s">
        <v>1386</v>
      </c>
    </row>
    <row r="28" spans="1:21" x14ac:dyDescent="0.25">
      <c r="A28">
        <v>30727581</v>
      </c>
      <c r="B28" t="s">
        <v>1457</v>
      </c>
      <c r="C28" t="str">
        <f>"9781032490755"</f>
        <v>9781032490755</v>
      </c>
      <c r="D28" t="str">
        <f>"9781003810131"</f>
        <v>9781003810131</v>
      </c>
      <c r="E28" s="1">
        <v>45170</v>
      </c>
      <c r="F28" s="1">
        <v>45174</v>
      </c>
      <c r="G28" t="s">
        <v>1458</v>
      </c>
      <c r="H28" t="s">
        <v>25</v>
      </c>
      <c r="I28" t="s">
        <v>1459</v>
      </c>
      <c r="J28" t="s">
        <v>1255</v>
      </c>
      <c r="K28" t="s">
        <v>1460</v>
      </c>
    </row>
    <row r="29" spans="1:21" x14ac:dyDescent="0.25">
      <c r="A29">
        <v>30751436</v>
      </c>
      <c r="B29" t="s">
        <v>1466</v>
      </c>
      <c r="C29" t="str">
        <f>"9781032388342"</f>
        <v>9781032388342</v>
      </c>
      <c r="D29" t="str">
        <f>"9781000982992"</f>
        <v>9781000982992</v>
      </c>
      <c r="E29" s="1">
        <v>45237</v>
      </c>
      <c r="F29" s="1">
        <v>45192</v>
      </c>
      <c r="G29" t="s">
        <v>1467</v>
      </c>
      <c r="H29" t="s">
        <v>25</v>
      </c>
      <c r="I29" t="s">
        <v>1468</v>
      </c>
      <c r="J29" s="2">
        <v>6588342</v>
      </c>
      <c r="K29" t="s">
        <v>1469</v>
      </c>
    </row>
    <row r="30" spans="1:21" x14ac:dyDescent="0.25">
      <c r="A30">
        <v>30755665</v>
      </c>
      <c r="B30" t="s">
        <v>1474</v>
      </c>
      <c r="C30" t="str">
        <f>"9781032479354"</f>
        <v>9781032479354</v>
      </c>
      <c r="D30" t="str">
        <f>"9781000985450"</f>
        <v>9781000985450</v>
      </c>
      <c r="E30" s="1">
        <v>45230</v>
      </c>
      <c r="F30" s="1">
        <v>45197</v>
      </c>
      <c r="G30" t="s">
        <v>1475</v>
      </c>
      <c r="H30" t="s">
        <v>25</v>
      </c>
      <c r="J30" s="2">
        <v>658408</v>
      </c>
      <c r="K30" t="s">
        <v>1256</v>
      </c>
    </row>
    <row r="31" spans="1:21" x14ac:dyDescent="0.25">
      <c r="A31">
        <v>30826907</v>
      </c>
      <c r="B31" t="s">
        <v>1503</v>
      </c>
      <c r="C31" t="str">
        <f>"9781032558509"</f>
        <v>9781032558509</v>
      </c>
      <c r="D31" t="str">
        <f>"9781003827238"</f>
        <v>9781003827238</v>
      </c>
      <c r="E31" s="1">
        <v>45231</v>
      </c>
      <c r="F31" s="1">
        <v>45226</v>
      </c>
      <c r="G31" t="s">
        <v>1504</v>
      </c>
      <c r="H31" t="s">
        <v>25</v>
      </c>
    </row>
    <row r="32" spans="1:21" x14ac:dyDescent="0.25">
      <c r="A32">
        <v>30876322</v>
      </c>
      <c r="B32" t="s">
        <v>1524</v>
      </c>
      <c r="C32" t="str">
        <f>"9781032462189"</f>
        <v>9781032462189</v>
      </c>
      <c r="D32" t="str">
        <f>"9781003829782"</f>
        <v>9781003829782</v>
      </c>
      <c r="E32" s="1">
        <v>45261</v>
      </c>
      <c r="F32" s="1">
        <v>45240</v>
      </c>
      <c r="G32" t="s">
        <v>1525</v>
      </c>
      <c r="H32" t="s">
        <v>25</v>
      </c>
      <c r="I32" t="s">
        <v>1526</v>
      </c>
      <c r="J32" t="s">
        <v>1527</v>
      </c>
      <c r="K32" t="s">
        <v>1528</v>
      </c>
      <c r="L32" t="s">
        <v>38</v>
      </c>
      <c r="M32" t="s">
        <v>39</v>
      </c>
      <c r="N32" t="s">
        <v>40</v>
      </c>
      <c r="O32" t="s">
        <v>40</v>
      </c>
      <c r="P32" t="s">
        <v>39</v>
      </c>
      <c r="Q32" t="s">
        <v>39</v>
      </c>
      <c r="R32" t="s">
        <v>40</v>
      </c>
      <c r="S32" t="s">
        <v>40</v>
      </c>
      <c r="T32" t="s">
        <v>40</v>
      </c>
      <c r="U32" t="s">
        <v>1529</v>
      </c>
    </row>
    <row r="33" spans="1:21" x14ac:dyDescent="0.25">
      <c r="A33">
        <v>30941442</v>
      </c>
      <c r="B33" t="s">
        <v>1532</v>
      </c>
      <c r="C33" t="str">
        <f>"9781032488752"</f>
        <v>9781032488752</v>
      </c>
      <c r="D33" t="str">
        <f>"9781000990355"</f>
        <v>9781000990355</v>
      </c>
      <c r="E33" s="1">
        <v>45231</v>
      </c>
      <c r="F33" s="1">
        <v>45245</v>
      </c>
      <c r="G33" t="s">
        <v>1533</v>
      </c>
      <c r="H33" t="s">
        <v>25</v>
      </c>
    </row>
    <row r="34" spans="1:21" x14ac:dyDescent="0.25">
      <c r="A34">
        <v>31022940</v>
      </c>
      <c r="B34" t="s">
        <v>1546</v>
      </c>
      <c r="C34" t="str">
        <f>"9781032573236"</f>
        <v>9781032573236</v>
      </c>
      <c r="D34" t="str">
        <f>"9781003853831"</f>
        <v>9781003853831</v>
      </c>
      <c r="E34" s="1">
        <v>45342</v>
      </c>
      <c r="F34" s="1">
        <v>45278</v>
      </c>
      <c r="G34" t="s">
        <v>1547</v>
      </c>
      <c r="H34" t="s">
        <v>25</v>
      </c>
      <c r="J34" t="s">
        <v>1548</v>
      </c>
      <c r="L34" t="s">
        <v>38</v>
      </c>
      <c r="M34" t="s">
        <v>39</v>
      </c>
      <c r="N34" t="s">
        <v>40</v>
      </c>
      <c r="O34" t="s">
        <v>40</v>
      </c>
      <c r="P34" t="s">
        <v>39</v>
      </c>
      <c r="Q34" t="s">
        <v>39</v>
      </c>
      <c r="R34" t="s">
        <v>40</v>
      </c>
      <c r="S34" t="s">
        <v>40</v>
      </c>
      <c r="T34" t="s">
        <v>40</v>
      </c>
      <c r="U34" t="s">
        <v>1549</v>
      </c>
    </row>
    <row r="35" spans="1:21" x14ac:dyDescent="0.25">
      <c r="A35">
        <v>31053125</v>
      </c>
      <c r="B35" t="s">
        <v>1552</v>
      </c>
      <c r="C35" t="str">
        <f>"9781032644356"</f>
        <v>9781032644356</v>
      </c>
      <c r="D35" t="str">
        <f>"9781003845966"</f>
        <v>9781003845966</v>
      </c>
      <c r="E35" s="1">
        <v>45338</v>
      </c>
      <c r="F35" s="1">
        <v>45296</v>
      </c>
      <c r="G35" t="s">
        <v>1553</v>
      </c>
      <c r="H35" t="s">
        <v>25</v>
      </c>
      <c r="I35" t="s">
        <v>1554</v>
      </c>
      <c r="J35" s="2">
        <v>6584062</v>
      </c>
      <c r="L35" t="s">
        <v>38</v>
      </c>
      <c r="M35" t="s">
        <v>39</v>
      </c>
      <c r="N35" t="s">
        <v>40</v>
      </c>
      <c r="O35" t="s">
        <v>40</v>
      </c>
      <c r="P35" t="s">
        <v>39</v>
      </c>
      <c r="Q35" t="s">
        <v>39</v>
      </c>
      <c r="R35" t="s">
        <v>40</v>
      </c>
      <c r="S35" t="s">
        <v>40</v>
      </c>
      <c r="T35" t="s">
        <v>40</v>
      </c>
      <c r="U35" t="s">
        <v>1555</v>
      </c>
    </row>
    <row r="36" spans="1:21" x14ac:dyDescent="0.25">
      <c r="A36">
        <v>31075958</v>
      </c>
      <c r="B36" t="s">
        <v>1556</v>
      </c>
      <c r="C36" t="str">
        <f>"9781032563152"</f>
        <v>9781032563152</v>
      </c>
      <c r="D36" t="str">
        <f>"9781040014103"</f>
        <v>9781040014103</v>
      </c>
      <c r="E36" s="1">
        <v>45474</v>
      </c>
      <c r="F36" s="1">
        <v>45315</v>
      </c>
      <c r="G36" t="s">
        <v>1557</v>
      </c>
      <c r="H36" t="s">
        <v>25</v>
      </c>
    </row>
    <row r="37" spans="1:21" x14ac:dyDescent="0.25">
      <c r="A37">
        <v>31192100</v>
      </c>
      <c r="B37" t="s">
        <v>1578</v>
      </c>
      <c r="C37" t="str">
        <f>"9781032464008"</f>
        <v>9781032464008</v>
      </c>
      <c r="D37" t="str">
        <f>"9781040023631"</f>
        <v>9781040023631</v>
      </c>
      <c r="E37" s="1">
        <v>45352</v>
      </c>
      <c r="F37" s="1">
        <v>45353</v>
      </c>
      <c r="G37" t="s">
        <v>1579</v>
      </c>
      <c r="H37" t="s">
        <v>25</v>
      </c>
      <c r="I37" t="s">
        <v>1580</v>
      </c>
      <c r="J37" s="2">
        <v>65815224</v>
      </c>
      <c r="K37" t="s">
        <v>1581</v>
      </c>
    </row>
    <row r="38" spans="1:21" x14ac:dyDescent="0.25">
      <c r="A38">
        <v>31195437</v>
      </c>
      <c r="B38" t="s">
        <v>1584</v>
      </c>
      <c r="C38" t="str">
        <f>"9781032531328"</f>
        <v>9781032531328</v>
      </c>
      <c r="D38" t="str">
        <f>"9781040029688"</f>
        <v>9781040029688</v>
      </c>
      <c r="E38" s="1">
        <v>45446</v>
      </c>
      <c r="F38" s="1">
        <v>45355</v>
      </c>
      <c r="G38" t="s">
        <v>1585</v>
      </c>
      <c r="H38" t="s">
        <v>25</v>
      </c>
      <c r="I38" t="s">
        <v>1586</v>
      </c>
      <c r="J38">
        <v>658</v>
      </c>
      <c r="K38" t="s">
        <v>1587</v>
      </c>
    </row>
    <row r="39" spans="1:21" x14ac:dyDescent="0.25">
      <c r="A39">
        <v>31225756</v>
      </c>
      <c r="B39" t="s">
        <v>1592</v>
      </c>
      <c r="C39" t="str">
        <f>"9781032470955"</f>
        <v>9781032470955</v>
      </c>
      <c r="D39" t="str">
        <f>"9781040042205"</f>
        <v>9781040042205</v>
      </c>
      <c r="E39" s="1">
        <v>45444</v>
      </c>
      <c r="F39" s="1">
        <v>45376</v>
      </c>
      <c r="G39" t="s">
        <v>1593</v>
      </c>
      <c r="H39" t="s">
        <v>25</v>
      </c>
      <c r="L39" t="s">
        <v>38</v>
      </c>
      <c r="M39" t="s">
        <v>39</v>
      </c>
      <c r="N39" t="s">
        <v>40</v>
      </c>
      <c r="O39" t="s">
        <v>40</v>
      </c>
      <c r="P39" t="s">
        <v>39</v>
      </c>
      <c r="Q39" t="s">
        <v>39</v>
      </c>
      <c r="R39" t="s">
        <v>40</v>
      </c>
      <c r="S39" t="s">
        <v>40</v>
      </c>
      <c r="T39" t="s">
        <v>40</v>
      </c>
      <c r="U39" t="s">
        <v>1594</v>
      </c>
    </row>
    <row r="40" spans="1:21" x14ac:dyDescent="0.25">
      <c r="A40">
        <v>31267414</v>
      </c>
      <c r="B40" t="s">
        <v>1603</v>
      </c>
      <c r="C40" t="str">
        <f>"9781032717937"</f>
        <v>9781032717937</v>
      </c>
      <c r="D40" t="str">
        <f>"9781040087541"</f>
        <v>9781040087541</v>
      </c>
      <c r="E40" s="1">
        <v>45398</v>
      </c>
      <c r="F40" s="1">
        <v>45393</v>
      </c>
      <c r="G40" t="s">
        <v>1604</v>
      </c>
      <c r="H40" t="s">
        <v>25</v>
      </c>
    </row>
    <row r="41" spans="1:21" x14ac:dyDescent="0.25">
      <c r="A41">
        <v>31289926</v>
      </c>
      <c r="B41" t="s">
        <v>1605</v>
      </c>
      <c r="C41" t="str">
        <f>"9781032377261"</f>
        <v>9781032377261</v>
      </c>
      <c r="D41" t="str">
        <f>"9781040094419"</f>
        <v>9781040094419</v>
      </c>
      <c r="E41" s="1">
        <v>45413</v>
      </c>
      <c r="F41" s="1">
        <v>45404</v>
      </c>
      <c r="G41" t="s">
        <v>1606</v>
      </c>
      <c r="H41" t="s">
        <v>25</v>
      </c>
      <c r="J41" t="s">
        <v>1607</v>
      </c>
      <c r="L41" t="s">
        <v>38</v>
      </c>
      <c r="M41" t="s">
        <v>39</v>
      </c>
      <c r="N41" t="s">
        <v>40</v>
      </c>
      <c r="O41" t="s">
        <v>40</v>
      </c>
      <c r="P41" t="s">
        <v>39</v>
      </c>
      <c r="Q41" t="s">
        <v>39</v>
      </c>
      <c r="R41" t="s">
        <v>40</v>
      </c>
      <c r="S41" t="s">
        <v>40</v>
      </c>
      <c r="T41" t="s">
        <v>40</v>
      </c>
      <c r="U41" t="s">
        <v>1608</v>
      </c>
    </row>
    <row r="42" spans="1:21" x14ac:dyDescent="0.25">
      <c r="A42">
        <v>31337709</v>
      </c>
      <c r="B42" t="s">
        <v>1614</v>
      </c>
      <c r="C42" t="str">
        <f>"9781032715049"</f>
        <v>9781032715049</v>
      </c>
      <c r="D42" t="str">
        <f>"9781040037263"</f>
        <v>9781040037263</v>
      </c>
      <c r="E42" s="1">
        <v>45461</v>
      </c>
      <c r="F42" s="1">
        <v>45424</v>
      </c>
      <c r="G42" t="s">
        <v>1615</v>
      </c>
      <c r="H42" t="s">
        <v>25</v>
      </c>
    </row>
    <row r="43" spans="1:21" x14ac:dyDescent="0.25">
      <c r="A43">
        <v>179859</v>
      </c>
      <c r="B43" t="s">
        <v>31</v>
      </c>
      <c r="C43" t="str">
        <f>"9780415069854"</f>
        <v>9780415069854</v>
      </c>
      <c r="D43" t="str">
        <f>"9780203136713"</f>
        <v>9780203136713</v>
      </c>
      <c r="E43" s="1">
        <v>33592</v>
      </c>
      <c r="F43" s="1">
        <v>38169</v>
      </c>
      <c r="G43" t="s">
        <v>32</v>
      </c>
      <c r="H43" t="s">
        <v>33</v>
      </c>
    </row>
    <row r="44" spans="1:21" x14ac:dyDescent="0.25">
      <c r="A44">
        <v>981700</v>
      </c>
      <c r="B44" t="s">
        <v>126</v>
      </c>
      <c r="C44" t="str">
        <f>"9780415892100"</f>
        <v>9780415892100</v>
      </c>
      <c r="D44" t="str">
        <f>"9780203834275"</f>
        <v>9780203834275</v>
      </c>
      <c r="E44" s="1">
        <v>40533</v>
      </c>
      <c r="F44" s="1">
        <v>41121</v>
      </c>
      <c r="G44" t="s">
        <v>127</v>
      </c>
      <c r="H44" t="s">
        <v>33</v>
      </c>
    </row>
    <row r="45" spans="1:21" x14ac:dyDescent="0.25">
      <c r="A45">
        <v>1097846</v>
      </c>
      <c r="B45" t="s">
        <v>155</v>
      </c>
      <c r="C45" t="str">
        <f>"9780415550925"</f>
        <v>9780415550925</v>
      </c>
      <c r="D45" t="str">
        <f>"9781136230752"</f>
        <v>9781136230752</v>
      </c>
      <c r="E45" s="1">
        <v>41198</v>
      </c>
      <c r="F45" s="1">
        <v>41256</v>
      </c>
      <c r="G45" t="s">
        <v>156</v>
      </c>
      <c r="H45" t="s">
        <v>33</v>
      </c>
    </row>
    <row r="46" spans="1:21" x14ac:dyDescent="0.25">
      <c r="A46">
        <v>1356324</v>
      </c>
      <c r="B46" t="s">
        <v>217</v>
      </c>
      <c r="C46" t="str">
        <f>"9780415645089"</f>
        <v>9780415645089</v>
      </c>
      <c r="D46" t="str">
        <f>"9781136026881"</f>
        <v>9781136026881</v>
      </c>
      <c r="E46" s="1">
        <v>41514</v>
      </c>
      <c r="F46" s="1">
        <v>41681</v>
      </c>
      <c r="G46" t="s">
        <v>218</v>
      </c>
      <c r="H46" t="s">
        <v>33</v>
      </c>
    </row>
    <row r="47" spans="1:21" x14ac:dyDescent="0.25">
      <c r="A47">
        <v>1562524</v>
      </c>
      <c r="B47" t="s">
        <v>272</v>
      </c>
      <c r="C47" t="str">
        <f>"9781408230954"</f>
        <v>9781408230954</v>
      </c>
      <c r="D47" t="str">
        <f>"9781317862109"</f>
        <v>9781317862109</v>
      </c>
      <c r="E47" s="1">
        <v>40696</v>
      </c>
      <c r="F47" s="1">
        <v>42334</v>
      </c>
      <c r="G47" t="s">
        <v>273</v>
      </c>
      <c r="H47" t="s">
        <v>33</v>
      </c>
    </row>
    <row r="48" spans="1:21" x14ac:dyDescent="0.25">
      <c r="A48">
        <v>5352021</v>
      </c>
      <c r="B48" t="s">
        <v>763</v>
      </c>
      <c r="C48" t="str">
        <f>"9781560003311"</f>
        <v>9781560003311</v>
      </c>
      <c r="D48" t="str">
        <f>"9781351291224"</f>
        <v>9781351291224</v>
      </c>
      <c r="E48" s="1">
        <v>35657</v>
      </c>
      <c r="F48" s="1">
        <v>43210</v>
      </c>
      <c r="G48" t="s">
        <v>764</v>
      </c>
      <c r="H48" t="s">
        <v>33</v>
      </c>
    </row>
    <row r="49" spans="1:21" x14ac:dyDescent="0.25">
      <c r="A49">
        <v>5779607</v>
      </c>
      <c r="B49" t="s">
        <v>845</v>
      </c>
      <c r="C49" t="str">
        <f>"9781138358768"</f>
        <v>9781138358768</v>
      </c>
      <c r="D49" t="str">
        <f>"9780429784200"</f>
        <v>9780429784200</v>
      </c>
      <c r="E49" s="1">
        <v>43621</v>
      </c>
      <c r="F49" s="1">
        <v>43610</v>
      </c>
      <c r="G49" t="s">
        <v>846</v>
      </c>
      <c r="H49" t="s">
        <v>33</v>
      </c>
    </row>
    <row r="50" spans="1:21" x14ac:dyDescent="0.25">
      <c r="A50">
        <v>5897481</v>
      </c>
      <c r="B50" t="s">
        <v>936</v>
      </c>
      <c r="C50" t="str">
        <f>"9780367012755"</f>
        <v>9780367012755</v>
      </c>
      <c r="D50" t="str">
        <f>"9780429702105"</f>
        <v>9780429702105</v>
      </c>
      <c r="E50" s="1">
        <v>43735</v>
      </c>
      <c r="F50" s="1">
        <v>43726</v>
      </c>
      <c r="G50" t="s">
        <v>937</v>
      </c>
      <c r="H50" t="s">
        <v>33</v>
      </c>
    </row>
    <row r="51" spans="1:21" x14ac:dyDescent="0.25">
      <c r="A51">
        <v>6434515</v>
      </c>
      <c r="B51" t="s">
        <v>1033</v>
      </c>
      <c r="C51" t="str">
        <f>"9781439850480"</f>
        <v>9781439850480</v>
      </c>
      <c r="D51" t="str">
        <f>"9788770222877"</f>
        <v>9788770222877</v>
      </c>
      <c r="E51" s="1">
        <v>40407</v>
      </c>
      <c r="F51" s="1">
        <v>44188</v>
      </c>
      <c r="G51" t="s">
        <v>1034</v>
      </c>
      <c r="H51" t="s">
        <v>33</v>
      </c>
    </row>
    <row r="52" spans="1:21" x14ac:dyDescent="0.25">
      <c r="A52">
        <v>7262547</v>
      </c>
      <c r="B52" t="s">
        <v>1321</v>
      </c>
      <c r="C52" t="str">
        <f>"9780367726324"</f>
        <v>9780367726324</v>
      </c>
      <c r="D52" t="str">
        <f>"9781000923421"</f>
        <v>9781000923421</v>
      </c>
      <c r="E52" s="1">
        <v>45139</v>
      </c>
      <c r="F52" s="1">
        <v>45094</v>
      </c>
      <c r="G52" t="s">
        <v>1322</v>
      </c>
      <c r="H52" t="s">
        <v>33</v>
      </c>
    </row>
    <row r="53" spans="1:21" x14ac:dyDescent="0.25">
      <c r="A53">
        <v>30734407</v>
      </c>
      <c r="B53" t="s">
        <v>1464</v>
      </c>
      <c r="C53" t="str">
        <f>"9781032498553"</f>
        <v>9781032498553</v>
      </c>
      <c r="D53" t="str">
        <f>"9781000998580"</f>
        <v>9781000998580</v>
      </c>
      <c r="E53" s="1">
        <v>45231</v>
      </c>
      <c r="F53" s="1">
        <v>45177</v>
      </c>
      <c r="G53" t="s">
        <v>1465</v>
      </c>
      <c r="H53" t="s">
        <v>33</v>
      </c>
    </row>
    <row r="54" spans="1:21" x14ac:dyDescent="0.25">
      <c r="A54">
        <v>30755603</v>
      </c>
      <c r="B54" t="s">
        <v>1472</v>
      </c>
      <c r="C54" t="str">
        <f>"9781032619538"</f>
        <v>9781032619538</v>
      </c>
      <c r="D54" t="str">
        <f>"9780429774164"</f>
        <v>9780429774164</v>
      </c>
      <c r="E54" s="1">
        <v>45195</v>
      </c>
      <c r="F54" s="1">
        <v>45197</v>
      </c>
      <c r="G54" t="s">
        <v>1473</v>
      </c>
      <c r="H54" t="s">
        <v>33</v>
      </c>
    </row>
    <row r="55" spans="1:21" x14ac:dyDescent="0.25">
      <c r="A55">
        <v>30766352</v>
      </c>
      <c r="B55" t="s">
        <v>1476</v>
      </c>
      <c r="C55" t="str">
        <f>"9780367776404"</f>
        <v>9780367776404</v>
      </c>
      <c r="D55" t="str">
        <f>"9781003816768"</f>
        <v>9781003816768</v>
      </c>
      <c r="E55" s="1">
        <v>45261</v>
      </c>
      <c r="F55" s="1">
        <v>45202</v>
      </c>
      <c r="G55" t="s">
        <v>1477</v>
      </c>
      <c r="H55" t="s">
        <v>33</v>
      </c>
    </row>
    <row r="56" spans="1:21" x14ac:dyDescent="0.25">
      <c r="A56">
        <v>30769637</v>
      </c>
      <c r="B56" t="s">
        <v>1482</v>
      </c>
      <c r="C56" t="str">
        <f>"9781032443898"</f>
        <v>9781032443898</v>
      </c>
      <c r="D56" t="str">
        <f>"9781000937664"</f>
        <v>9781000937664</v>
      </c>
      <c r="E56" s="1">
        <v>45187</v>
      </c>
      <c r="F56" s="1">
        <v>45204</v>
      </c>
      <c r="G56" t="s">
        <v>1483</v>
      </c>
      <c r="H56" t="s">
        <v>33</v>
      </c>
    </row>
    <row r="57" spans="1:21" x14ac:dyDescent="0.25">
      <c r="A57">
        <v>30836066</v>
      </c>
      <c r="B57" t="s">
        <v>1507</v>
      </c>
      <c r="C57" t="str">
        <f>"9781032562452"</f>
        <v>9781032562452</v>
      </c>
      <c r="D57" t="str">
        <f>"9781003836018"</f>
        <v>9781003836018</v>
      </c>
      <c r="E57" s="1">
        <v>45292</v>
      </c>
      <c r="F57" s="1">
        <v>45230</v>
      </c>
      <c r="G57" t="s">
        <v>1508</v>
      </c>
      <c r="H57" t="s">
        <v>33</v>
      </c>
    </row>
    <row r="58" spans="1:21" x14ac:dyDescent="0.25">
      <c r="A58">
        <v>31015535</v>
      </c>
      <c r="B58" t="s">
        <v>1542</v>
      </c>
      <c r="C58" t="str">
        <f>"9781032363462"</f>
        <v>9781032363462</v>
      </c>
      <c r="D58" t="str">
        <f>"9781040010105"</f>
        <v>9781040010105</v>
      </c>
      <c r="E58" s="1">
        <v>45292</v>
      </c>
      <c r="F58" s="1">
        <v>45274</v>
      </c>
      <c r="G58" t="s">
        <v>1543</v>
      </c>
      <c r="H58" t="s">
        <v>33</v>
      </c>
    </row>
    <row r="59" spans="1:21" x14ac:dyDescent="0.25">
      <c r="A59">
        <v>31202736</v>
      </c>
      <c r="B59" t="s">
        <v>1590</v>
      </c>
      <c r="C59" t="str">
        <f>"9780367276577"</f>
        <v>9780367276577</v>
      </c>
      <c r="D59" t="str">
        <f>"9781040024652"</f>
        <v>9781040024652</v>
      </c>
      <c r="E59" s="1">
        <v>45323</v>
      </c>
      <c r="F59" s="1">
        <v>45359</v>
      </c>
      <c r="G59" t="s">
        <v>1591</v>
      </c>
      <c r="H59" t="s">
        <v>33</v>
      </c>
    </row>
    <row r="60" spans="1:21" x14ac:dyDescent="0.25">
      <c r="A60">
        <v>31225762</v>
      </c>
      <c r="B60" t="s">
        <v>1595</v>
      </c>
      <c r="C60" t="str">
        <f>"9781032294667"</f>
        <v>9781032294667</v>
      </c>
      <c r="D60" t="str">
        <f>"9781040085226"</f>
        <v>9781040085226</v>
      </c>
      <c r="E60" s="1">
        <v>45398</v>
      </c>
      <c r="F60" s="1">
        <v>45376</v>
      </c>
      <c r="G60" t="s">
        <v>1596</v>
      </c>
      <c r="H60" t="s">
        <v>33</v>
      </c>
    </row>
    <row r="61" spans="1:21" x14ac:dyDescent="0.25">
      <c r="A61">
        <v>31254138</v>
      </c>
      <c r="B61" t="s">
        <v>1599</v>
      </c>
      <c r="C61" t="str">
        <f>"9781032227702"</f>
        <v>9781032227702</v>
      </c>
      <c r="D61" t="str">
        <f>"9781040086193"</f>
        <v>9781040086193</v>
      </c>
      <c r="E61" s="1">
        <v>45393</v>
      </c>
      <c r="F61" s="1">
        <v>45391</v>
      </c>
      <c r="G61" t="s">
        <v>1600</v>
      </c>
      <c r="H61" t="s">
        <v>33</v>
      </c>
    </row>
    <row r="62" spans="1:21" x14ac:dyDescent="0.25">
      <c r="A62">
        <v>1433519</v>
      </c>
      <c r="B62" t="s">
        <v>246</v>
      </c>
      <c r="C62" t="str">
        <f>"9780415130202"</f>
        <v>9780415130202</v>
      </c>
      <c r="D62" t="str">
        <f>"9781135101206"</f>
        <v>9781135101206</v>
      </c>
      <c r="E62" s="1">
        <v>35213</v>
      </c>
      <c r="F62" s="1">
        <v>41549</v>
      </c>
      <c r="G62" t="s">
        <v>247</v>
      </c>
      <c r="H62" t="s">
        <v>248</v>
      </c>
      <c r="I62" t="s">
        <v>249</v>
      </c>
      <c r="J62" t="s">
        <v>250</v>
      </c>
      <c r="K62" t="s">
        <v>251</v>
      </c>
      <c r="L62" t="s">
        <v>38</v>
      </c>
      <c r="M62" t="s">
        <v>39</v>
      </c>
      <c r="N62" t="s">
        <v>40</v>
      </c>
      <c r="O62" t="s">
        <v>40</v>
      </c>
      <c r="P62" t="s">
        <v>39</v>
      </c>
      <c r="Q62" t="s">
        <v>39</v>
      </c>
      <c r="R62" t="s">
        <v>40</v>
      </c>
      <c r="S62" t="s">
        <v>39</v>
      </c>
      <c r="T62" t="s">
        <v>40</v>
      </c>
      <c r="U62" t="s">
        <v>252</v>
      </c>
    </row>
    <row r="63" spans="1:21" x14ac:dyDescent="0.25">
      <c r="A63">
        <v>4663596</v>
      </c>
      <c r="B63" t="s">
        <v>631</v>
      </c>
      <c r="C63" t="str">
        <f>"9781544289502"</f>
        <v>9781544289502</v>
      </c>
      <c r="D63" t="str">
        <f>"9783736411494"</f>
        <v>9783736411494</v>
      </c>
      <c r="E63" s="1">
        <v>44281</v>
      </c>
      <c r="F63" s="1">
        <v>42621</v>
      </c>
      <c r="G63" t="s">
        <v>632</v>
      </c>
      <c r="H63" t="s">
        <v>633</v>
      </c>
      <c r="L63" t="s">
        <v>634</v>
      </c>
    </row>
    <row r="64" spans="1:21" x14ac:dyDescent="0.25">
      <c r="A64">
        <v>5600133</v>
      </c>
      <c r="B64" t="s">
        <v>819</v>
      </c>
      <c r="C64" t="str">
        <f>"9781786826404"</f>
        <v>9781786826404</v>
      </c>
      <c r="D64" t="str">
        <f>"9781786826411"</f>
        <v>9781786826411</v>
      </c>
      <c r="E64" s="1">
        <v>43421</v>
      </c>
      <c r="F64" s="1">
        <v>43424</v>
      </c>
      <c r="G64" t="s">
        <v>820</v>
      </c>
      <c r="H64" t="s">
        <v>633</v>
      </c>
    </row>
    <row r="65" spans="1:21" x14ac:dyDescent="0.25">
      <c r="A65">
        <v>6036547</v>
      </c>
      <c r="B65" t="s">
        <v>971</v>
      </c>
      <c r="C65" t="str">
        <f>"9783835336056"</f>
        <v>9783835336056</v>
      </c>
      <c r="D65" t="str">
        <f>"9783835344853"</f>
        <v>9783835344853</v>
      </c>
      <c r="E65" s="1">
        <v>43864</v>
      </c>
      <c r="F65" s="1">
        <v>43867</v>
      </c>
      <c r="G65" t="s">
        <v>972</v>
      </c>
      <c r="H65" t="s">
        <v>633</v>
      </c>
      <c r="L65" t="s">
        <v>973</v>
      </c>
      <c r="M65" t="s">
        <v>39</v>
      </c>
      <c r="N65" t="s">
        <v>40</v>
      </c>
      <c r="O65" t="s">
        <v>40</v>
      </c>
      <c r="P65" t="s">
        <v>39</v>
      </c>
      <c r="Q65" t="s">
        <v>39</v>
      </c>
      <c r="R65" t="s">
        <v>40</v>
      </c>
      <c r="S65" t="s">
        <v>39</v>
      </c>
      <c r="T65" t="s">
        <v>40</v>
      </c>
      <c r="U65" t="s">
        <v>974</v>
      </c>
    </row>
    <row r="66" spans="1:21" x14ac:dyDescent="0.25">
      <c r="A66">
        <v>6266074</v>
      </c>
      <c r="B66" t="s">
        <v>993</v>
      </c>
      <c r="C66" t="str">
        <f>"9783865392206"</f>
        <v>9783865392206</v>
      </c>
      <c r="D66" t="str">
        <f>"9783843800556"</f>
        <v>9783843800556</v>
      </c>
      <c r="E66" s="1">
        <v>40231</v>
      </c>
      <c r="F66" s="1">
        <v>44042</v>
      </c>
      <c r="G66" t="s">
        <v>792</v>
      </c>
      <c r="H66" t="s">
        <v>633</v>
      </c>
      <c r="L66" t="s">
        <v>973</v>
      </c>
      <c r="M66" t="s">
        <v>39</v>
      </c>
      <c r="N66" t="s">
        <v>40</v>
      </c>
      <c r="O66" t="s">
        <v>40</v>
      </c>
      <c r="P66" t="s">
        <v>39</v>
      </c>
      <c r="Q66" t="s">
        <v>39</v>
      </c>
      <c r="R66" t="s">
        <v>39</v>
      </c>
      <c r="S66" t="s">
        <v>39</v>
      </c>
      <c r="T66" t="s">
        <v>40</v>
      </c>
      <c r="U66" t="s">
        <v>994</v>
      </c>
    </row>
    <row r="67" spans="1:21" x14ac:dyDescent="0.25">
      <c r="A67">
        <v>6266308</v>
      </c>
      <c r="B67" t="s">
        <v>997</v>
      </c>
      <c r="C67" t="str">
        <f>"9783865393609"</f>
        <v>9783865393609</v>
      </c>
      <c r="D67" t="str">
        <f>"9783843804295"</f>
        <v>9783843804295</v>
      </c>
      <c r="E67" s="1">
        <v>41690</v>
      </c>
      <c r="F67" s="1">
        <v>44042</v>
      </c>
      <c r="G67" t="s">
        <v>998</v>
      </c>
      <c r="H67" t="s">
        <v>633</v>
      </c>
      <c r="L67" t="s">
        <v>973</v>
      </c>
      <c r="M67" t="s">
        <v>39</v>
      </c>
      <c r="N67" t="s">
        <v>40</v>
      </c>
      <c r="O67" t="s">
        <v>40</v>
      </c>
      <c r="P67" t="s">
        <v>39</v>
      </c>
      <c r="Q67" t="s">
        <v>39</v>
      </c>
      <c r="R67" t="s">
        <v>39</v>
      </c>
      <c r="S67" t="s">
        <v>39</v>
      </c>
      <c r="T67" t="s">
        <v>40</v>
      </c>
      <c r="U67" t="s">
        <v>999</v>
      </c>
    </row>
    <row r="68" spans="1:21" x14ac:dyDescent="0.25">
      <c r="A68">
        <v>6266314</v>
      </c>
      <c r="B68" t="s">
        <v>1000</v>
      </c>
      <c r="C68" t="str">
        <f>"9783865393517"</f>
        <v>9783865393517</v>
      </c>
      <c r="D68" t="str">
        <f>"9783843804356"</f>
        <v>9783843804356</v>
      </c>
      <c r="E68" s="1">
        <v>41694</v>
      </c>
      <c r="F68" s="1">
        <v>44042</v>
      </c>
      <c r="G68" t="s">
        <v>1001</v>
      </c>
      <c r="H68" t="s">
        <v>633</v>
      </c>
      <c r="L68" t="s">
        <v>973</v>
      </c>
      <c r="M68" t="s">
        <v>39</v>
      </c>
      <c r="N68" t="s">
        <v>40</v>
      </c>
      <c r="O68" t="s">
        <v>40</v>
      </c>
      <c r="P68" t="s">
        <v>39</v>
      </c>
      <c r="Q68" t="s">
        <v>39</v>
      </c>
      <c r="R68" t="s">
        <v>39</v>
      </c>
      <c r="S68" t="s">
        <v>39</v>
      </c>
      <c r="T68" t="s">
        <v>40</v>
      </c>
      <c r="U68" t="s">
        <v>1002</v>
      </c>
    </row>
    <row r="69" spans="1:21" x14ac:dyDescent="0.25">
      <c r="A69">
        <v>6266340</v>
      </c>
      <c r="B69" t="s">
        <v>1003</v>
      </c>
      <c r="C69" t="str">
        <f>"9783865393739"</f>
        <v>9783865393739</v>
      </c>
      <c r="D69" t="str">
        <f>"9783843804684"</f>
        <v>9783843804684</v>
      </c>
      <c r="E69" s="1">
        <v>41871</v>
      </c>
      <c r="F69" s="1">
        <v>44042</v>
      </c>
      <c r="G69" t="s">
        <v>996</v>
      </c>
      <c r="H69" t="s">
        <v>633</v>
      </c>
      <c r="L69" t="s">
        <v>973</v>
      </c>
      <c r="M69" t="s">
        <v>39</v>
      </c>
      <c r="N69" t="s">
        <v>40</v>
      </c>
      <c r="O69" t="s">
        <v>40</v>
      </c>
      <c r="P69" t="s">
        <v>39</v>
      </c>
      <c r="Q69" t="s">
        <v>39</v>
      </c>
      <c r="R69" t="s">
        <v>39</v>
      </c>
      <c r="S69" t="s">
        <v>39</v>
      </c>
      <c r="T69" t="s">
        <v>40</v>
      </c>
      <c r="U69" t="s">
        <v>1004</v>
      </c>
    </row>
    <row r="70" spans="1:21" x14ac:dyDescent="0.25">
      <c r="A70">
        <v>6266370</v>
      </c>
      <c r="B70" t="s">
        <v>1005</v>
      </c>
      <c r="C70" t="str">
        <f>"9783737409896"</f>
        <v>9783737409896</v>
      </c>
      <c r="D70" t="str">
        <f>"9783843805193"</f>
        <v>9783843805193</v>
      </c>
      <c r="E70" s="1">
        <v>42549</v>
      </c>
      <c r="F70" s="1">
        <v>44042</v>
      </c>
      <c r="G70" t="s">
        <v>996</v>
      </c>
      <c r="H70" t="s">
        <v>633</v>
      </c>
      <c r="L70" t="s">
        <v>973</v>
      </c>
      <c r="M70" t="s">
        <v>39</v>
      </c>
      <c r="N70" t="s">
        <v>40</v>
      </c>
      <c r="O70" t="s">
        <v>40</v>
      </c>
      <c r="P70" t="s">
        <v>39</v>
      </c>
      <c r="Q70" t="s">
        <v>39</v>
      </c>
      <c r="R70" t="s">
        <v>39</v>
      </c>
      <c r="S70" t="s">
        <v>39</v>
      </c>
      <c r="T70" t="s">
        <v>40</v>
      </c>
      <c r="U70" t="s">
        <v>1006</v>
      </c>
    </row>
    <row r="71" spans="1:21" x14ac:dyDescent="0.25">
      <c r="A71">
        <v>6269670</v>
      </c>
      <c r="B71" t="s">
        <v>1007</v>
      </c>
      <c r="C71" t="str">
        <f>"9783520516015"</f>
        <v>9783520516015</v>
      </c>
      <c r="D71" t="str">
        <f>"9783520516916"</f>
        <v>9783520516916</v>
      </c>
      <c r="E71" s="1">
        <v>43173</v>
      </c>
      <c r="F71" s="1">
        <v>44040</v>
      </c>
      <c r="G71" t="s">
        <v>1008</v>
      </c>
      <c r="H71" t="s">
        <v>633</v>
      </c>
      <c r="L71" t="s">
        <v>973</v>
      </c>
      <c r="M71" t="s">
        <v>39</v>
      </c>
      <c r="N71" t="s">
        <v>40</v>
      </c>
      <c r="O71" t="s">
        <v>40</v>
      </c>
      <c r="P71" t="s">
        <v>39</v>
      </c>
      <c r="Q71" t="s">
        <v>39</v>
      </c>
      <c r="R71" t="s">
        <v>40</v>
      </c>
      <c r="S71" t="s">
        <v>39</v>
      </c>
      <c r="T71" t="s">
        <v>40</v>
      </c>
      <c r="U71" t="s">
        <v>1009</v>
      </c>
    </row>
    <row r="72" spans="1:21" x14ac:dyDescent="0.25">
      <c r="A72">
        <v>6350227</v>
      </c>
      <c r="B72" t="s">
        <v>1018</v>
      </c>
      <c r="C72" t="str">
        <f>""</f>
        <v/>
      </c>
      <c r="D72" t="str">
        <f>"9783863935245"</f>
        <v>9783863935245</v>
      </c>
      <c r="E72" s="1">
        <v>41978</v>
      </c>
      <c r="F72" s="1">
        <v>44091</v>
      </c>
      <c r="G72" t="s">
        <v>1019</v>
      </c>
      <c r="H72" t="s">
        <v>633</v>
      </c>
      <c r="L72" t="s">
        <v>973</v>
      </c>
      <c r="M72" t="s">
        <v>39</v>
      </c>
      <c r="N72" t="s">
        <v>40</v>
      </c>
      <c r="O72" t="s">
        <v>40</v>
      </c>
      <c r="P72" t="s">
        <v>39</v>
      </c>
      <c r="Q72" t="s">
        <v>39</v>
      </c>
      <c r="R72" t="s">
        <v>39</v>
      </c>
      <c r="S72" t="s">
        <v>39</v>
      </c>
      <c r="T72" t="s">
        <v>40</v>
      </c>
      <c r="U72" t="s">
        <v>1020</v>
      </c>
    </row>
    <row r="73" spans="1:21" x14ac:dyDescent="0.25">
      <c r="A73">
        <v>6454592</v>
      </c>
      <c r="B73" t="s">
        <v>1037</v>
      </c>
      <c r="C73" t="str">
        <f>""</f>
        <v/>
      </c>
      <c r="D73" t="str">
        <f>"9783869923956"</f>
        <v>9783869923956</v>
      </c>
      <c r="E73" s="1">
        <v>40179</v>
      </c>
      <c r="F73" s="1">
        <v>44209</v>
      </c>
      <c r="G73" t="s">
        <v>1038</v>
      </c>
      <c r="H73" t="s">
        <v>633</v>
      </c>
      <c r="L73" t="s">
        <v>973</v>
      </c>
      <c r="M73" t="s">
        <v>39</v>
      </c>
      <c r="N73" t="s">
        <v>40</v>
      </c>
      <c r="O73" t="s">
        <v>40</v>
      </c>
      <c r="P73" t="s">
        <v>39</v>
      </c>
      <c r="Q73" t="s">
        <v>39</v>
      </c>
      <c r="R73" t="s">
        <v>39</v>
      </c>
      <c r="S73" t="s">
        <v>39</v>
      </c>
      <c r="T73" t="s">
        <v>40</v>
      </c>
      <c r="U73" t="s">
        <v>1039</v>
      </c>
    </row>
    <row r="74" spans="1:21" x14ac:dyDescent="0.25">
      <c r="A74">
        <v>6459118</v>
      </c>
      <c r="B74" t="s">
        <v>1040</v>
      </c>
      <c r="C74" t="str">
        <f>""</f>
        <v/>
      </c>
      <c r="D74" t="str">
        <f>"9783869923963"</f>
        <v>9783869923963</v>
      </c>
      <c r="E74" s="1">
        <v>44215</v>
      </c>
      <c r="F74" s="1">
        <v>44216</v>
      </c>
      <c r="G74" t="s">
        <v>1038</v>
      </c>
      <c r="H74" t="s">
        <v>633</v>
      </c>
      <c r="L74" t="s">
        <v>973</v>
      </c>
      <c r="M74" t="s">
        <v>39</v>
      </c>
      <c r="N74" t="s">
        <v>40</v>
      </c>
      <c r="O74" t="s">
        <v>40</v>
      </c>
      <c r="P74" t="s">
        <v>39</v>
      </c>
      <c r="Q74" t="s">
        <v>39</v>
      </c>
      <c r="R74" t="s">
        <v>39</v>
      </c>
      <c r="S74" t="s">
        <v>39</v>
      </c>
      <c r="T74" t="s">
        <v>40</v>
      </c>
      <c r="U74" t="s">
        <v>1041</v>
      </c>
    </row>
    <row r="75" spans="1:21" x14ac:dyDescent="0.25">
      <c r="A75">
        <v>6609016</v>
      </c>
      <c r="B75" t="s">
        <v>1052</v>
      </c>
      <c r="C75" t="str">
        <f>""</f>
        <v/>
      </c>
      <c r="D75" t="str">
        <f>"9783869307176"</f>
        <v>9783869307176</v>
      </c>
      <c r="E75" s="1">
        <v>42117</v>
      </c>
      <c r="F75" s="1">
        <v>44328</v>
      </c>
      <c r="G75" t="s">
        <v>1053</v>
      </c>
      <c r="H75" t="s">
        <v>633</v>
      </c>
      <c r="L75" t="s">
        <v>973</v>
      </c>
      <c r="M75" t="s">
        <v>39</v>
      </c>
      <c r="N75" t="s">
        <v>40</v>
      </c>
      <c r="O75" t="s">
        <v>40</v>
      </c>
      <c r="P75" t="s">
        <v>39</v>
      </c>
      <c r="Q75" t="s">
        <v>39</v>
      </c>
      <c r="R75" t="s">
        <v>39</v>
      </c>
      <c r="S75" t="s">
        <v>39</v>
      </c>
      <c r="T75" t="s">
        <v>40</v>
      </c>
      <c r="U75" t="s">
        <v>1054</v>
      </c>
    </row>
    <row r="76" spans="1:21" x14ac:dyDescent="0.25">
      <c r="A76">
        <v>6609032</v>
      </c>
      <c r="B76" t="s">
        <v>1055</v>
      </c>
      <c r="C76" t="str">
        <f>"9783882434859"</f>
        <v>9783882434859</v>
      </c>
      <c r="D76" t="str">
        <f>"9783869307183"</f>
        <v>9783869307183</v>
      </c>
      <c r="E76" s="1">
        <v>42117</v>
      </c>
      <c r="F76" s="1">
        <v>44328</v>
      </c>
      <c r="G76" t="s">
        <v>1053</v>
      </c>
      <c r="H76" t="s">
        <v>633</v>
      </c>
      <c r="L76" t="s">
        <v>973</v>
      </c>
      <c r="M76" t="s">
        <v>39</v>
      </c>
      <c r="N76" t="s">
        <v>40</v>
      </c>
      <c r="O76" t="s">
        <v>40</v>
      </c>
      <c r="P76" t="s">
        <v>39</v>
      </c>
      <c r="Q76" t="s">
        <v>39</v>
      </c>
      <c r="R76" t="s">
        <v>39</v>
      </c>
      <c r="S76" t="s">
        <v>39</v>
      </c>
      <c r="T76" t="s">
        <v>40</v>
      </c>
      <c r="U76" t="s">
        <v>1056</v>
      </c>
    </row>
    <row r="77" spans="1:21" x14ac:dyDescent="0.25">
      <c r="A77">
        <v>6609045</v>
      </c>
      <c r="B77" t="s">
        <v>1057</v>
      </c>
      <c r="C77" t="str">
        <f>""</f>
        <v/>
      </c>
      <c r="D77" t="str">
        <f>"9783958290600"</f>
        <v>9783958290600</v>
      </c>
      <c r="E77" s="1">
        <v>42128</v>
      </c>
      <c r="F77" s="1">
        <v>44328</v>
      </c>
      <c r="G77" t="s">
        <v>1053</v>
      </c>
      <c r="H77" t="s">
        <v>633</v>
      </c>
      <c r="L77" t="s">
        <v>973</v>
      </c>
      <c r="M77" t="s">
        <v>39</v>
      </c>
      <c r="N77" t="s">
        <v>40</v>
      </c>
      <c r="O77" t="s">
        <v>40</v>
      </c>
      <c r="P77" t="s">
        <v>39</v>
      </c>
      <c r="Q77" t="s">
        <v>39</v>
      </c>
      <c r="R77" t="s">
        <v>39</v>
      </c>
      <c r="S77" t="s">
        <v>39</v>
      </c>
      <c r="T77" t="s">
        <v>40</v>
      </c>
      <c r="U77" t="s">
        <v>1058</v>
      </c>
    </row>
    <row r="78" spans="1:21" x14ac:dyDescent="0.25">
      <c r="A78">
        <v>6609059</v>
      </c>
      <c r="B78" t="s">
        <v>1059</v>
      </c>
      <c r="C78" t="str">
        <f>"9783882434866"</f>
        <v>9783882434866</v>
      </c>
      <c r="D78" t="str">
        <f>"9783869307190"</f>
        <v>9783869307190</v>
      </c>
      <c r="E78" s="1">
        <v>42117</v>
      </c>
      <c r="F78" s="1">
        <v>44328</v>
      </c>
      <c r="G78" t="s">
        <v>1053</v>
      </c>
      <c r="H78" t="s">
        <v>633</v>
      </c>
      <c r="L78" t="s">
        <v>973</v>
      </c>
      <c r="M78" t="s">
        <v>39</v>
      </c>
      <c r="N78" t="s">
        <v>40</v>
      </c>
      <c r="O78" t="s">
        <v>40</v>
      </c>
      <c r="P78" t="s">
        <v>39</v>
      </c>
      <c r="Q78" t="s">
        <v>39</v>
      </c>
      <c r="R78" t="s">
        <v>39</v>
      </c>
      <c r="S78" t="s">
        <v>39</v>
      </c>
      <c r="T78" t="s">
        <v>40</v>
      </c>
      <c r="U78" t="s">
        <v>1060</v>
      </c>
    </row>
    <row r="79" spans="1:21" x14ac:dyDescent="0.25">
      <c r="A79">
        <v>6609082</v>
      </c>
      <c r="B79" t="s">
        <v>1061</v>
      </c>
      <c r="C79" t="str">
        <f>"9783882434941"</f>
        <v>9783882434941</v>
      </c>
      <c r="D79" t="str">
        <f>"9783958290839"</f>
        <v>9783958290839</v>
      </c>
      <c r="E79" s="1">
        <v>42191</v>
      </c>
      <c r="F79" s="1">
        <v>44328</v>
      </c>
      <c r="G79" t="s">
        <v>1053</v>
      </c>
      <c r="H79" t="s">
        <v>633</v>
      </c>
      <c r="L79" t="s">
        <v>973</v>
      </c>
      <c r="M79" t="s">
        <v>39</v>
      </c>
      <c r="N79" t="s">
        <v>40</v>
      </c>
      <c r="O79" t="s">
        <v>40</v>
      </c>
      <c r="P79" t="s">
        <v>39</v>
      </c>
      <c r="Q79" t="s">
        <v>39</v>
      </c>
      <c r="R79" t="s">
        <v>39</v>
      </c>
      <c r="S79" t="s">
        <v>39</v>
      </c>
      <c r="T79" t="s">
        <v>40</v>
      </c>
      <c r="U79" t="s">
        <v>1062</v>
      </c>
    </row>
    <row r="80" spans="1:21" x14ac:dyDescent="0.25">
      <c r="A80">
        <v>6609118</v>
      </c>
      <c r="B80" t="s">
        <v>1063</v>
      </c>
      <c r="C80" t="str">
        <f>"9783882434927"</f>
        <v>9783882434927</v>
      </c>
      <c r="D80" t="str">
        <f>"9783958290792"</f>
        <v>9783958290792</v>
      </c>
      <c r="E80" s="1">
        <v>42159</v>
      </c>
      <c r="F80" s="1">
        <v>44328</v>
      </c>
      <c r="G80" t="s">
        <v>1053</v>
      </c>
      <c r="H80" t="s">
        <v>633</v>
      </c>
      <c r="L80" t="s">
        <v>973</v>
      </c>
      <c r="M80" t="s">
        <v>39</v>
      </c>
      <c r="N80" t="s">
        <v>40</v>
      </c>
      <c r="O80" t="s">
        <v>40</v>
      </c>
      <c r="P80" t="s">
        <v>39</v>
      </c>
      <c r="Q80" t="s">
        <v>39</v>
      </c>
      <c r="R80" t="s">
        <v>39</v>
      </c>
      <c r="S80" t="s">
        <v>39</v>
      </c>
      <c r="T80" t="s">
        <v>40</v>
      </c>
      <c r="U80" t="s">
        <v>1064</v>
      </c>
    </row>
    <row r="81" spans="1:21" x14ac:dyDescent="0.25">
      <c r="A81">
        <v>6609165</v>
      </c>
      <c r="B81" t="s">
        <v>1065</v>
      </c>
      <c r="C81" t="str">
        <f>"9783869301556"</f>
        <v>9783869301556</v>
      </c>
      <c r="D81" t="str">
        <f>"9783958292246"</f>
        <v>9783958292246</v>
      </c>
      <c r="E81" s="1">
        <v>40360</v>
      </c>
      <c r="F81" s="1">
        <v>44328</v>
      </c>
      <c r="G81" t="s">
        <v>1053</v>
      </c>
      <c r="H81" t="s">
        <v>633</v>
      </c>
      <c r="L81" t="s">
        <v>973</v>
      </c>
      <c r="M81" t="s">
        <v>39</v>
      </c>
      <c r="N81" t="s">
        <v>40</v>
      </c>
      <c r="O81" t="s">
        <v>40</v>
      </c>
      <c r="P81" t="s">
        <v>39</v>
      </c>
      <c r="Q81" t="s">
        <v>39</v>
      </c>
      <c r="R81" t="s">
        <v>39</v>
      </c>
      <c r="S81" t="s">
        <v>39</v>
      </c>
      <c r="T81" t="s">
        <v>40</v>
      </c>
      <c r="U81" t="s">
        <v>1066</v>
      </c>
    </row>
    <row r="82" spans="1:21" x14ac:dyDescent="0.25">
      <c r="A82">
        <v>6609206</v>
      </c>
      <c r="B82" t="s">
        <v>1067</v>
      </c>
      <c r="C82" t="str">
        <f>"9783958299368"</f>
        <v>9783958299368</v>
      </c>
      <c r="D82" t="str">
        <f>"9783958299436"</f>
        <v>9783958299436</v>
      </c>
      <c r="E82" s="1">
        <v>44286</v>
      </c>
      <c r="F82" s="1">
        <v>44328</v>
      </c>
      <c r="G82" t="s">
        <v>1053</v>
      </c>
      <c r="H82" t="s">
        <v>633</v>
      </c>
      <c r="L82" t="s">
        <v>973</v>
      </c>
      <c r="M82" t="s">
        <v>39</v>
      </c>
      <c r="N82" t="s">
        <v>40</v>
      </c>
      <c r="O82" t="s">
        <v>40</v>
      </c>
      <c r="P82" t="s">
        <v>39</v>
      </c>
      <c r="Q82" t="s">
        <v>39</v>
      </c>
      <c r="R82" t="s">
        <v>39</v>
      </c>
      <c r="S82" t="s">
        <v>39</v>
      </c>
      <c r="T82" t="s">
        <v>40</v>
      </c>
      <c r="U82" t="s">
        <v>1068</v>
      </c>
    </row>
    <row r="83" spans="1:21" x14ac:dyDescent="0.25">
      <c r="A83">
        <v>6609339</v>
      </c>
      <c r="B83" t="s">
        <v>1069</v>
      </c>
      <c r="C83" t="str">
        <f>""</f>
        <v/>
      </c>
      <c r="D83" t="str">
        <f>"9783869307206"</f>
        <v>9783869307206</v>
      </c>
      <c r="E83" s="1">
        <v>42128</v>
      </c>
      <c r="F83" s="1">
        <v>44328</v>
      </c>
      <c r="G83" t="s">
        <v>1053</v>
      </c>
      <c r="H83" t="s">
        <v>633</v>
      </c>
      <c r="L83" t="s">
        <v>973</v>
      </c>
      <c r="M83" t="s">
        <v>39</v>
      </c>
      <c r="N83" t="s">
        <v>40</v>
      </c>
      <c r="O83" t="s">
        <v>40</v>
      </c>
      <c r="P83" t="s">
        <v>39</v>
      </c>
      <c r="Q83" t="s">
        <v>39</v>
      </c>
      <c r="R83" t="s">
        <v>39</v>
      </c>
      <c r="S83" t="s">
        <v>39</v>
      </c>
      <c r="T83" t="s">
        <v>40</v>
      </c>
      <c r="U83" t="s">
        <v>1070</v>
      </c>
    </row>
    <row r="84" spans="1:21" x14ac:dyDescent="0.25">
      <c r="A84">
        <v>6662701</v>
      </c>
      <c r="B84" t="s">
        <v>1077</v>
      </c>
      <c r="C84" t="str">
        <f>"9783960381297"</f>
        <v>9783960381297</v>
      </c>
      <c r="D84" t="str">
        <f>"9783960381488"</f>
        <v>9783960381488</v>
      </c>
      <c r="E84" s="1">
        <v>43160</v>
      </c>
      <c r="F84" s="1">
        <v>44426</v>
      </c>
      <c r="G84" t="s">
        <v>1078</v>
      </c>
      <c r="H84" t="s">
        <v>633</v>
      </c>
      <c r="L84" t="s">
        <v>973</v>
      </c>
      <c r="M84" t="s">
        <v>39</v>
      </c>
      <c r="N84" t="s">
        <v>40</v>
      </c>
      <c r="O84" t="s">
        <v>40</v>
      </c>
      <c r="P84" t="s">
        <v>39</v>
      </c>
      <c r="Q84" t="s">
        <v>39</v>
      </c>
      <c r="R84" t="s">
        <v>40</v>
      </c>
      <c r="S84" t="s">
        <v>39</v>
      </c>
      <c r="T84" t="s">
        <v>40</v>
      </c>
      <c r="U84" t="s">
        <v>1079</v>
      </c>
    </row>
    <row r="85" spans="1:21" x14ac:dyDescent="0.25">
      <c r="A85">
        <v>6712473</v>
      </c>
      <c r="B85" t="s">
        <v>1080</v>
      </c>
      <c r="C85" t="str">
        <f>"9789874255907"</f>
        <v>9789874255907</v>
      </c>
      <c r="D85" t="str">
        <f>"9789878670522"</f>
        <v>9789878670522</v>
      </c>
      <c r="E85" s="1">
        <v>44136</v>
      </c>
      <c r="F85" s="1">
        <v>44434</v>
      </c>
      <c r="G85" t="s">
        <v>1081</v>
      </c>
      <c r="H85" t="s">
        <v>633</v>
      </c>
      <c r="L85" t="s">
        <v>634</v>
      </c>
    </row>
    <row r="86" spans="1:21" x14ac:dyDescent="0.25">
      <c r="A86">
        <v>7027702</v>
      </c>
      <c r="B86" t="s">
        <v>1117</v>
      </c>
      <c r="C86" t="str">
        <f>"9783608501278"</f>
        <v>9783608501278</v>
      </c>
      <c r="D86" t="str">
        <f>"9783608103564"</f>
        <v>9783608103564</v>
      </c>
      <c r="E86" s="1">
        <v>41327</v>
      </c>
      <c r="F86" s="1">
        <v>44748</v>
      </c>
      <c r="G86" t="s">
        <v>1118</v>
      </c>
      <c r="H86" t="s">
        <v>633</v>
      </c>
      <c r="L86" t="s">
        <v>973</v>
      </c>
      <c r="M86" t="s">
        <v>39</v>
      </c>
      <c r="N86" t="s">
        <v>40</v>
      </c>
      <c r="O86" t="s">
        <v>40</v>
      </c>
      <c r="P86" t="s">
        <v>39</v>
      </c>
      <c r="Q86" t="s">
        <v>39</v>
      </c>
      <c r="R86" t="s">
        <v>39</v>
      </c>
      <c r="S86" t="s">
        <v>39</v>
      </c>
      <c r="T86" t="s">
        <v>40</v>
      </c>
      <c r="U86" t="s">
        <v>1119</v>
      </c>
    </row>
    <row r="87" spans="1:21" x14ac:dyDescent="0.25">
      <c r="A87">
        <v>7027817</v>
      </c>
      <c r="B87" t="s">
        <v>1120</v>
      </c>
      <c r="C87" t="str">
        <f>"9783608960778"</f>
        <v>9783608960778</v>
      </c>
      <c r="D87" t="str">
        <f>"9783608106022"</f>
        <v>9783608106022</v>
      </c>
      <c r="E87" s="1">
        <v>41574</v>
      </c>
      <c r="F87" s="1">
        <v>44748</v>
      </c>
      <c r="G87" t="s">
        <v>1121</v>
      </c>
      <c r="H87" t="s">
        <v>633</v>
      </c>
      <c r="L87" t="s">
        <v>973</v>
      </c>
      <c r="M87" t="s">
        <v>39</v>
      </c>
      <c r="N87" t="s">
        <v>40</v>
      </c>
      <c r="O87" t="s">
        <v>40</v>
      </c>
      <c r="P87" t="s">
        <v>39</v>
      </c>
      <c r="Q87" t="s">
        <v>39</v>
      </c>
      <c r="R87" t="s">
        <v>40</v>
      </c>
      <c r="S87" t="s">
        <v>39</v>
      </c>
      <c r="T87" t="s">
        <v>40</v>
      </c>
      <c r="U87" t="s">
        <v>1122</v>
      </c>
    </row>
    <row r="88" spans="1:21" x14ac:dyDescent="0.25">
      <c r="A88">
        <v>7028040</v>
      </c>
      <c r="B88" t="s">
        <v>1123</v>
      </c>
      <c r="C88" t="str">
        <f>"9783608961577"</f>
        <v>9783608961577</v>
      </c>
      <c r="D88" t="str">
        <f>"9783608108798"</f>
        <v>9783608108798</v>
      </c>
      <c r="E88" s="1">
        <v>42928</v>
      </c>
      <c r="F88" s="1">
        <v>44748</v>
      </c>
      <c r="G88" t="s">
        <v>1118</v>
      </c>
      <c r="H88" t="s">
        <v>633</v>
      </c>
      <c r="L88" t="s">
        <v>973</v>
      </c>
      <c r="M88" t="s">
        <v>39</v>
      </c>
      <c r="N88" t="s">
        <v>40</v>
      </c>
      <c r="O88" t="s">
        <v>40</v>
      </c>
      <c r="P88" t="s">
        <v>39</v>
      </c>
      <c r="Q88" t="s">
        <v>39</v>
      </c>
      <c r="R88" t="s">
        <v>40</v>
      </c>
      <c r="S88" t="s">
        <v>39</v>
      </c>
      <c r="T88" t="s">
        <v>40</v>
      </c>
      <c r="U88" t="s">
        <v>1124</v>
      </c>
    </row>
    <row r="89" spans="1:21" x14ac:dyDescent="0.25">
      <c r="A89">
        <v>7028358</v>
      </c>
      <c r="B89" t="s">
        <v>1125</v>
      </c>
      <c r="C89" t="str">
        <f>"9783608964257"</f>
        <v>9783608964257</v>
      </c>
      <c r="D89" t="str">
        <f>"9783608115772"</f>
        <v>9783608115772</v>
      </c>
      <c r="E89" s="1">
        <v>43647</v>
      </c>
      <c r="F89" s="1">
        <v>44748</v>
      </c>
      <c r="G89" t="s">
        <v>1118</v>
      </c>
      <c r="H89" t="s">
        <v>633</v>
      </c>
      <c r="L89" t="s">
        <v>973</v>
      </c>
      <c r="M89" t="s">
        <v>39</v>
      </c>
      <c r="N89" t="s">
        <v>40</v>
      </c>
      <c r="O89" t="s">
        <v>40</v>
      </c>
      <c r="P89" t="s">
        <v>39</v>
      </c>
      <c r="Q89" t="s">
        <v>39</v>
      </c>
      <c r="R89" t="s">
        <v>40</v>
      </c>
      <c r="S89" t="s">
        <v>39</v>
      </c>
      <c r="T89" t="s">
        <v>40</v>
      </c>
      <c r="U89" t="s">
        <v>1126</v>
      </c>
    </row>
    <row r="90" spans="1:21" x14ac:dyDescent="0.25">
      <c r="A90">
        <v>7028605</v>
      </c>
      <c r="B90" t="s">
        <v>1127</v>
      </c>
      <c r="C90" t="str">
        <f>"9783608984163"</f>
        <v>9783608984163</v>
      </c>
      <c r="D90" t="str">
        <f>"9783608120929"</f>
        <v>9783608120929</v>
      </c>
      <c r="E90" s="1">
        <v>44303</v>
      </c>
      <c r="F90" s="1">
        <v>44748</v>
      </c>
      <c r="G90" t="s">
        <v>1118</v>
      </c>
      <c r="H90" t="s">
        <v>633</v>
      </c>
      <c r="L90" t="s">
        <v>973</v>
      </c>
      <c r="M90" t="s">
        <v>39</v>
      </c>
      <c r="N90" t="s">
        <v>40</v>
      </c>
      <c r="O90" t="s">
        <v>40</v>
      </c>
      <c r="P90" t="s">
        <v>39</v>
      </c>
      <c r="Q90" t="s">
        <v>39</v>
      </c>
      <c r="R90" t="s">
        <v>40</v>
      </c>
      <c r="S90" t="s">
        <v>39</v>
      </c>
      <c r="T90" t="s">
        <v>40</v>
      </c>
      <c r="U90" t="s">
        <v>1128</v>
      </c>
    </row>
    <row r="91" spans="1:21" x14ac:dyDescent="0.25">
      <c r="A91">
        <v>7131381</v>
      </c>
      <c r="B91" t="s">
        <v>1148</v>
      </c>
      <c r="C91" t="str">
        <f>"9783455001853"</f>
        <v>9783455001853</v>
      </c>
      <c r="D91" t="str">
        <f>"9783455002973"</f>
        <v>9783455002973</v>
      </c>
      <c r="E91" s="1">
        <v>43045</v>
      </c>
      <c r="F91" s="1">
        <v>44871</v>
      </c>
      <c r="G91" t="s">
        <v>1149</v>
      </c>
      <c r="H91" t="s">
        <v>633</v>
      </c>
      <c r="L91" t="s">
        <v>973</v>
      </c>
      <c r="M91" t="s">
        <v>39</v>
      </c>
      <c r="N91" t="s">
        <v>40</v>
      </c>
      <c r="O91" t="s">
        <v>40</v>
      </c>
      <c r="P91" t="s">
        <v>39</v>
      </c>
      <c r="Q91" t="s">
        <v>39</v>
      </c>
      <c r="R91" t="s">
        <v>40</v>
      </c>
      <c r="S91" t="s">
        <v>39</v>
      </c>
      <c r="T91" t="s">
        <v>40</v>
      </c>
      <c r="U91" t="s">
        <v>1150</v>
      </c>
    </row>
    <row r="92" spans="1:21" x14ac:dyDescent="0.25">
      <c r="A92">
        <v>7131527</v>
      </c>
      <c r="B92" t="s">
        <v>1152</v>
      </c>
      <c r="C92" t="str">
        <f>"9783455012705"</f>
        <v>9783455012705</v>
      </c>
      <c r="D92" t="str">
        <f>"9783455012712"</f>
        <v>9783455012712</v>
      </c>
      <c r="E92" s="1">
        <v>44440</v>
      </c>
      <c r="F92" s="1">
        <v>44871</v>
      </c>
      <c r="G92" t="s">
        <v>1153</v>
      </c>
      <c r="H92" t="s">
        <v>633</v>
      </c>
      <c r="L92" t="s">
        <v>973</v>
      </c>
      <c r="M92" t="s">
        <v>39</v>
      </c>
      <c r="N92" t="s">
        <v>40</v>
      </c>
      <c r="O92" t="s">
        <v>40</v>
      </c>
      <c r="P92" t="s">
        <v>39</v>
      </c>
      <c r="Q92" t="s">
        <v>39</v>
      </c>
      <c r="R92" t="s">
        <v>40</v>
      </c>
      <c r="S92" t="s">
        <v>39</v>
      </c>
      <c r="T92" t="s">
        <v>40</v>
      </c>
      <c r="U92" t="s">
        <v>1154</v>
      </c>
    </row>
    <row r="93" spans="1:21" x14ac:dyDescent="0.25">
      <c r="A93">
        <v>7131528</v>
      </c>
      <c r="B93" t="s">
        <v>1155</v>
      </c>
      <c r="C93" t="str">
        <f>"9783455012729"</f>
        <v>9783455012729</v>
      </c>
      <c r="D93" t="str">
        <f>"9783455012736"</f>
        <v>9783455012736</v>
      </c>
      <c r="E93" s="1">
        <v>39264</v>
      </c>
      <c r="F93" s="1">
        <v>44871</v>
      </c>
      <c r="G93" t="s">
        <v>1153</v>
      </c>
      <c r="H93" t="s">
        <v>633</v>
      </c>
      <c r="L93" t="s">
        <v>973</v>
      </c>
      <c r="M93" t="s">
        <v>39</v>
      </c>
      <c r="N93" t="s">
        <v>40</v>
      </c>
      <c r="O93" t="s">
        <v>40</v>
      </c>
      <c r="P93" t="s">
        <v>39</v>
      </c>
      <c r="Q93" t="s">
        <v>39</v>
      </c>
      <c r="R93" t="s">
        <v>40</v>
      </c>
      <c r="S93" t="s">
        <v>39</v>
      </c>
      <c r="T93" t="s">
        <v>40</v>
      </c>
      <c r="U93" t="s">
        <v>1156</v>
      </c>
    </row>
    <row r="94" spans="1:21" x14ac:dyDescent="0.25">
      <c r="A94">
        <v>7131530</v>
      </c>
      <c r="B94" t="s">
        <v>1157</v>
      </c>
      <c r="C94" t="str">
        <f>"9783455012767"</f>
        <v>9783455012767</v>
      </c>
      <c r="D94" t="str">
        <f>"9783455012774"</f>
        <v>9783455012774</v>
      </c>
      <c r="E94" s="1">
        <v>44501</v>
      </c>
      <c r="F94" s="1">
        <v>44871</v>
      </c>
      <c r="G94" t="s">
        <v>1153</v>
      </c>
      <c r="H94" t="s">
        <v>633</v>
      </c>
      <c r="L94" t="s">
        <v>973</v>
      </c>
      <c r="M94" t="s">
        <v>39</v>
      </c>
      <c r="N94" t="s">
        <v>40</v>
      </c>
      <c r="O94" t="s">
        <v>40</v>
      </c>
      <c r="P94" t="s">
        <v>39</v>
      </c>
      <c r="Q94" t="s">
        <v>39</v>
      </c>
      <c r="R94" t="s">
        <v>40</v>
      </c>
      <c r="S94" t="s">
        <v>39</v>
      </c>
      <c r="T94" t="s">
        <v>40</v>
      </c>
      <c r="U94" t="s">
        <v>1158</v>
      </c>
    </row>
    <row r="95" spans="1:21" x14ac:dyDescent="0.25">
      <c r="A95">
        <v>7131531</v>
      </c>
      <c r="B95" t="s">
        <v>1159</v>
      </c>
      <c r="C95" t="str">
        <f>"9783455012781"</f>
        <v>9783455012781</v>
      </c>
      <c r="D95" t="str">
        <f>"9783455012798"</f>
        <v>9783455012798</v>
      </c>
      <c r="E95" s="1">
        <v>44440</v>
      </c>
      <c r="F95" s="1">
        <v>44871</v>
      </c>
      <c r="G95" t="s">
        <v>1153</v>
      </c>
      <c r="H95" t="s">
        <v>633</v>
      </c>
      <c r="L95" t="s">
        <v>973</v>
      </c>
      <c r="M95" t="s">
        <v>39</v>
      </c>
      <c r="N95" t="s">
        <v>40</v>
      </c>
      <c r="O95" t="s">
        <v>40</v>
      </c>
      <c r="P95" t="s">
        <v>39</v>
      </c>
      <c r="Q95" t="s">
        <v>39</v>
      </c>
      <c r="R95" t="s">
        <v>40</v>
      </c>
      <c r="S95" t="s">
        <v>39</v>
      </c>
      <c r="T95" t="s">
        <v>40</v>
      </c>
      <c r="U95" t="s">
        <v>1160</v>
      </c>
    </row>
    <row r="96" spans="1:21" x14ac:dyDescent="0.25">
      <c r="A96">
        <v>7131533</v>
      </c>
      <c r="B96" t="s">
        <v>1161</v>
      </c>
      <c r="C96" t="str">
        <f>"9783455012835"</f>
        <v>9783455012835</v>
      </c>
      <c r="D96" t="str">
        <f>"9783455012842"</f>
        <v>9783455012842</v>
      </c>
      <c r="E96" s="1">
        <v>44501</v>
      </c>
      <c r="F96" s="1">
        <v>44871</v>
      </c>
      <c r="G96" t="s">
        <v>1153</v>
      </c>
      <c r="H96" t="s">
        <v>633</v>
      </c>
      <c r="L96" t="s">
        <v>973</v>
      </c>
      <c r="M96" t="s">
        <v>39</v>
      </c>
      <c r="N96" t="s">
        <v>40</v>
      </c>
      <c r="O96" t="s">
        <v>40</v>
      </c>
      <c r="P96" t="s">
        <v>39</v>
      </c>
      <c r="Q96" t="s">
        <v>39</v>
      </c>
      <c r="R96" t="s">
        <v>40</v>
      </c>
      <c r="S96" t="s">
        <v>39</v>
      </c>
      <c r="T96" t="s">
        <v>40</v>
      </c>
      <c r="U96" t="s">
        <v>1162</v>
      </c>
    </row>
    <row r="97" spans="1:21" x14ac:dyDescent="0.25">
      <c r="A97">
        <v>7131535</v>
      </c>
      <c r="B97" t="s">
        <v>1163</v>
      </c>
      <c r="C97" t="str">
        <f>"9783455012873"</f>
        <v>9783455012873</v>
      </c>
      <c r="D97" t="str">
        <f>"9783455012880"</f>
        <v>9783455012880</v>
      </c>
      <c r="E97" s="1">
        <v>44474</v>
      </c>
      <c r="F97" s="1">
        <v>44871</v>
      </c>
      <c r="G97" t="s">
        <v>1153</v>
      </c>
      <c r="H97" t="s">
        <v>633</v>
      </c>
      <c r="L97" t="s">
        <v>973</v>
      </c>
      <c r="M97" t="s">
        <v>39</v>
      </c>
      <c r="N97" t="s">
        <v>40</v>
      </c>
      <c r="O97" t="s">
        <v>40</v>
      </c>
      <c r="P97" t="s">
        <v>39</v>
      </c>
      <c r="Q97" t="s">
        <v>39</v>
      </c>
      <c r="R97" t="s">
        <v>40</v>
      </c>
      <c r="S97" t="s">
        <v>39</v>
      </c>
      <c r="T97" t="s">
        <v>40</v>
      </c>
      <c r="U97" t="s">
        <v>1164</v>
      </c>
    </row>
    <row r="98" spans="1:21" x14ac:dyDescent="0.25">
      <c r="A98">
        <v>7131598</v>
      </c>
      <c r="B98" t="s">
        <v>1168</v>
      </c>
      <c r="C98" t="str">
        <f>"9783455404104"</f>
        <v>9783455404104</v>
      </c>
      <c r="D98" t="str">
        <f>"9783455810714"</f>
        <v>9783455810714</v>
      </c>
      <c r="E98" s="1">
        <v>43522</v>
      </c>
      <c r="F98" s="1">
        <v>44871</v>
      </c>
      <c r="G98" t="s">
        <v>792</v>
      </c>
      <c r="H98" t="s">
        <v>633</v>
      </c>
      <c r="L98" t="s">
        <v>973</v>
      </c>
      <c r="M98" t="s">
        <v>39</v>
      </c>
      <c r="N98" t="s">
        <v>40</v>
      </c>
      <c r="O98" t="s">
        <v>40</v>
      </c>
      <c r="P98" t="s">
        <v>39</v>
      </c>
      <c r="Q98" t="s">
        <v>39</v>
      </c>
      <c r="R98" t="s">
        <v>40</v>
      </c>
      <c r="S98" t="s">
        <v>39</v>
      </c>
      <c r="T98" t="s">
        <v>40</v>
      </c>
      <c r="U98" t="s">
        <v>1169</v>
      </c>
    </row>
    <row r="99" spans="1:21" x14ac:dyDescent="0.25">
      <c r="A99">
        <v>7131599</v>
      </c>
      <c r="B99" t="s">
        <v>1170</v>
      </c>
      <c r="C99" t="str">
        <f>"9783455042894"</f>
        <v>9783455042894</v>
      </c>
      <c r="D99" t="str">
        <f>"9783455810769"</f>
        <v>9783455810769</v>
      </c>
      <c r="E99" s="1">
        <v>41186</v>
      </c>
      <c r="F99" s="1">
        <v>44871</v>
      </c>
      <c r="G99" t="s">
        <v>1149</v>
      </c>
      <c r="H99" t="s">
        <v>633</v>
      </c>
      <c r="L99" t="s">
        <v>973</v>
      </c>
      <c r="M99" t="s">
        <v>39</v>
      </c>
      <c r="N99" t="s">
        <v>40</v>
      </c>
      <c r="O99" t="s">
        <v>40</v>
      </c>
      <c r="P99" t="s">
        <v>39</v>
      </c>
      <c r="Q99" t="s">
        <v>39</v>
      </c>
      <c r="R99" t="s">
        <v>40</v>
      </c>
      <c r="S99" t="s">
        <v>39</v>
      </c>
      <c r="T99" t="s">
        <v>40</v>
      </c>
      <c r="U99" t="s">
        <v>1171</v>
      </c>
    </row>
    <row r="100" spans="1:21" x14ac:dyDescent="0.25">
      <c r="A100">
        <v>7131600</v>
      </c>
      <c r="B100" t="s">
        <v>1172</v>
      </c>
      <c r="C100" t="str">
        <f>"9783455005646"</f>
        <v>9783455005646</v>
      </c>
      <c r="D100" t="str">
        <f>"9783455810776"</f>
        <v>9783455810776</v>
      </c>
      <c r="E100" s="1">
        <v>41186</v>
      </c>
      <c r="F100" s="1">
        <v>44871</v>
      </c>
      <c r="G100" t="s">
        <v>1149</v>
      </c>
      <c r="H100" t="s">
        <v>633</v>
      </c>
      <c r="L100" t="s">
        <v>973</v>
      </c>
      <c r="M100" t="s">
        <v>39</v>
      </c>
      <c r="N100" t="s">
        <v>40</v>
      </c>
      <c r="O100" t="s">
        <v>40</v>
      </c>
      <c r="P100" t="s">
        <v>39</v>
      </c>
      <c r="Q100" t="s">
        <v>39</v>
      </c>
      <c r="R100" t="s">
        <v>40</v>
      </c>
      <c r="S100" t="s">
        <v>39</v>
      </c>
      <c r="T100" t="s">
        <v>40</v>
      </c>
      <c r="U100" t="s">
        <v>1173</v>
      </c>
    </row>
    <row r="101" spans="1:21" x14ac:dyDescent="0.25">
      <c r="A101">
        <v>7131603</v>
      </c>
      <c r="B101" t="s">
        <v>1175</v>
      </c>
      <c r="C101" t="str">
        <f>"9783455042672"</f>
        <v>9783455042672</v>
      </c>
      <c r="D101" t="str">
        <f>"9783455810806"</f>
        <v>9783455810806</v>
      </c>
      <c r="E101" s="1">
        <v>41186</v>
      </c>
      <c r="F101" s="1">
        <v>44871</v>
      </c>
      <c r="G101" t="s">
        <v>1149</v>
      </c>
      <c r="H101" t="s">
        <v>633</v>
      </c>
      <c r="L101" t="s">
        <v>973</v>
      </c>
      <c r="M101" t="s">
        <v>39</v>
      </c>
      <c r="N101" t="s">
        <v>40</v>
      </c>
      <c r="O101" t="s">
        <v>40</v>
      </c>
      <c r="P101" t="s">
        <v>39</v>
      </c>
      <c r="Q101" t="s">
        <v>39</v>
      </c>
      <c r="R101" t="s">
        <v>40</v>
      </c>
      <c r="S101" t="s">
        <v>39</v>
      </c>
      <c r="T101" t="s">
        <v>40</v>
      </c>
      <c r="U101" t="s">
        <v>1176</v>
      </c>
    </row>
    <row r="102" spans="1:21" x14ac:dyDescent="0.25">
      <c r="A102">
        <v>7131604</v>
      </c>
      <c r="B102" t="s">
        <v>1177</v>
      </c>
      <c r="C102" t="str">
        <f>"9783455009484"</f>
        <v>9783455009484</v>
      </c>
      <c r="D102" t="str">
        <f>"9783455810813"</f>
        <v>9783455810813</v>
      </c>
      <c r="E102" s="1">
        <v>42917</v>
      </c>
      <c r="F102" s="1">
        <v>44871</v>
      </c>
      <c r="G102" t="s">
        <v>1149</v>
      </c>
      <c r="H102" t="s">
        <v>633</v>
      </c>
      <c r="L102" t="s">
        <v>973</v>
      </c>
      <c r="M102" t="s">
        <v>39</v>
      </c>
      <c r="N102" t="s">
        <v>40</v>
      </c>
      <c r="O102" t="s">
        <v>40</v>
      </c>
      <c r="P102" t="s">
        <v>39</v>
      </c>
      <c r="Q102" t="s">
        <v>39</v>
      </c>
      <c r="R102" t="s">
        <v>40</v>
      </c>
      <c r="S102" t="s">
        <v>39</v>
      </c>
      <c r="T102" t="s">
        <v>40</v>
      </c>
      <c r="U102" t="s">
        <v>1178</v>
      </c>
    </row>
    <row r="103" spans="1:21" x14ac:dyDescent="0.25">
      <c r="A103">
        <v>7131605</v>
      </c>
      <c r="B103" t="s">
        <v>1179</v>
      </c>
      <c r="C103" t="str">
        <f>"9783455042764"</f>
        <v>9783455042764</v>
      </c>
      <c r="D103" t="str">
        <f>"9783455810820"</f>
        <v>9783455810820</v>
      </c>
      <c r="E103" s="1">
        <v>41186</v>
      </c>
      <c r="F103" s="1">
        <v>44871</v>
      </c>
      <c r="G103" t="s">
        <v>1149</v>
      </c>
      <c r="H103" t="s">
        <v>633</v>
      </c>
      <c r="L103" t="s">
        <v>973</v>
      </c>
      <c r="M103" t="s">
        <v>39</v>
      </c>
      <c r="N103" t="s">
        <v>40</v>
      </c>
      <c r="O103" t="s">
        <v>40</v>
      </c>
      <c r="P103" t="s">
        <v>39</v>
      </c>
      <c r="Q103" t="s">
        <v>39</v>
      </c>
      <c r="R103" t="s">
        <v>40</v>
      </c>
      <c r="S103" t="s">
        <v>39</v>
      </c>
      <c r="T103" t="s">
        <v>40</v>
      </c>
      <c r="U103" t="s">
        <v>1180</v>
      </c>
    </row>
    <row r="104" spans="1:21" x14ac:dyDescent="0.25">
      <c r="A104">
        <v>7131606</v>
      </c>
      <c r="B104" t="s">
        <v>1181</v>
      </c>
      <c r="C104" t="str">
        <f>"9783455042757"</f>
        <v>9783455042757</v>
      </c>
      <c r="D104" t="str">
        <f>"9783455810837"</f>
        <v>9783455810837</v>
      </c>
      <c r="E104" s="1">
        <v>41186</v>
      </c>
      <c r="F104" s="1">
        <v>44871</v>
      </c>
      <c r="G104" t="s">
        <v>1149</v>
      </c>
      <c r="H104" t="s">
        <v>633</v>
      </c>
      <c r="L104" t="s">
        <v>973</v>
      </c>
      <c r="M104" t="s">
        <v>39</v>
      </c>
      <c r="N104" t="s">
        <v>40</v>
      </c>
      <c r="O104" t="s">
        <v>40</v>
      </c>
      <c r="P104" t="s">
        <v>39</v>
      </c>
      <c r="Q104" t="s">
        <v>39</v>
      </c>
      <c r="R104" t="s">
        <v>40</v>
      </c>
      <c r="S104" t="s">
        <v>39</v>
      </c>
      <c r="T104" t="s">
        <v>40</v>
      </c>
      <c r="U104" t="s">
        <v>1182</v>
      </c>
    </row>
    <row r="105" spans="1:21" x14ac:dyDescent="0.25">
      <c r="A105">
        <v>7131607</v>
      </c>
      <c r="B105" t="s">
        <v>1183</v>
      </c>
      <c r="C105" t="str">
        <f>"9783455002171"</f>
        <v>9783455002171</v>
      </c>
      <c r="D105" t="str">
        <f>"9783455810844"</f>
        <v>9783455810844</v>
      </c>
      <c r="E105" s="1">
        <v>41186</v>
      </c>
      <c r="F105" s="1">
        <v>44871</v>
      </c>
      <c r="G105" t="s">
        <v>1149</v>
      </c>
      <c r="H105" t="s">
        <v>633</v>
      </c>
      <c r="L105" t="s">
        <v>973</v>
      </c>
      <c r="M105" t="s">
        <v>39</v>
      </c>
      <c r="N105" t="s">
        <v>40</v>
      </c>
      <c r="O105" t="s">
        <v>40</v>
      </c>
      <c r="P105" t="s">
        <v>39</v>
      </c>
      <c r="Q105" t="s">
        <v>39</v>
      </c>
      <c r="R105" t="s">
        <v>40</v>
      </c>
      <c r="S105" t="s">
        <v>39</v>
      </c>
      <c r="T105" t="s">
        <v>40</v>
      </c>
      <c r="U105" t="s">
        <v>1184</v>
      </c>
    </row>
    <row r="106" spans="1:21" x14ac:dyDescent="0.25">
      <c r="A106">
        <v>7131608</v>
      </c>
      <c r="B106" t="s">
        <v>1185</v>
      </c>
      <c r="C106" t="str">
        <f>"9783455042702"</f>
        <v>9783455042702</v>
      </c>
      <c r="D106" t="str">
        <f>"9783455810851"</f>
        <v>9783455810851</v>
      </c>
      <c r="E106" s="1">
        <v>41186</v>
      </c>
      <c r="F106" s="1">
        <v>44871</v>
      </c>
      <c r="G106" t="s">
        <v>1149</v>
      </c>
      <c r="H106" t="s">
        <v>633</v>
      </c>
      <c r="L106" t="s">
        <v>973</v>
      </c>
      <c r="M106" t="s">
        <v>39</v>
      </c>
      <c r="N106" t="s">
        <v>40</v>
      </c>
      <c r="O106" t="s">
        <v>40</v>
      </c>
      <c r="P106" t="s">
        <v>39</v>
      </c>
      <c r="Q106" t="s">
        <v>39</v>
      </c>
      <c r="R106" t="s">
        <v>40</v>
      </c>
      <c r="S106" t="s">
        <v>39</v>
      </c>
      <c r="T106" t="s">
        <v>40</v>
      </c>
      <c r="U106" t="s">
        <v>1186</v>
      </c>
    </row>
    <row r="107" spans="1:21" x14ac:dyDescent="0.25">
      <c r="A107">
        <v>7131626</v>
      </c>
      <c r="B107" t="s">
        <v>1188</v>
      </c>
      <c r="C107" t="str">
        <f>""</f>
        <v/>
      </c>
      <c r="D107" t="str">
        <f>"9783455811230"</f>
        <v>9783455811230</v>
      </c>
      <c r="E107" s="1">
        <v>41341</v>
      </c>
      <c r="F107" s="1">
        <v>44871</v>
      </c>
      <c r="G107" t="s">
        <v>1149</v>
      </c>
      <c r="H107" t="s">
        <v>633</v>
      </c>
      <c r="L107" t="s">
        <v>973</v>
      </c>
      <c r="M107" t="s">
        <v>39</v>
      </c>
      <c r="N107" t="s">
        <v>40</v>
      </c>
      <c r="O107" t="s">
        <v>40</v>
      </c>
      <c r="P107" t="s">
        <v>39</v>
      </c>
      <c r="Q107" t="s">
        <v>39</v>
      </c>
      <c r="R107" t="s">
        <v>40</v>
      </c>
      <c r="S107" t="s">
        <v>39</v>
      </c>
      <c r="T107" t="s">
        <v>40</v>
      </c>
      <c r="U107" t="s">
        <v>1189</v>
      </c>
    </row>
    <row r="108" spans="1:21" x14ac:dyDescent="0.25">
      <c r="A108">
        <v>7131627</v>
      </c>
      <c r="B108" t="s">
        <v>1190</v>
      </c>
      <c r="C108" t="str">
        <f>""</f>
        <v/>
      </c>
      <c r="D108" t="str">
        <f>"9783455811247"</f>
        <v>9783455811247</v>
      </c>
      <c r="E108" s="1">
        <v>41341</v>
      </c>
      <c r="F108" s="1">
        <v>44871</v>
      </c>
      <c r="G108" t="s">
        <v>1149</v>
      </c>
      <c r="H108" t="s">
        <v>633</v>
      </c>
      <c r="L108" t="s">
        <v>973</v>
      </c>
      <c r="M108" t="s">
        <v>39</v>
      </c>
      <c r="N108" t="s">
        <v>40</v>
      </c>
      <c r="O108" t="s">
        <v>40</v>
      </c>
      <c r="P108" t="s">
        <v>39</v>
      </c>
      <c r="Q108" t="s">
        <v>39</v>
      </c>
      <c r="R108" t="s">
        <v>40</v>
      </c>
      <c r="S108" t="s">
        <v>39</v>
      </c>
      <c r="T108" t="s">
        <v>40</v>
      </c>
      <c r="U108" t="s">
        <v>1191</v>
      </c>
    </row>
    <row r="109" spans="1:21" x14ac:dyDescent="0.25">
      <c r="A109">
        <v>7131632</v>
      </c>
      <c r="B109" t="s">
        <v>1192</v>
      </c>
      <c r="C109" t="str">
        <f>""</f>
        <v/>
      </c>
      <c r="D109" t="str">
        <f>"9783455811292"</f>
        <v>9783455811292</v>
      </c>
      <c r="E109" s="1">
        <v>41341</v>
      </c>
      <c r="F109" s="1">
        <v>44871</v>
      </c>
      <c r="G109" t="s">
        <v>1149</v>
      </c>
      <c r="H109" t="s">
        <v>633</v>
      </c>
      <c r="L109" t="s">
        <v>973</v>
      </c>
      <c r="M109" t="s">
        <v>39</v>
      </c>
      <c r="N109" t="s">
        <v>40</v>
      </c>
      <c r="O109" t="s">
        <v>40</v>
      </c>
      <c r="P109" t="s">
        <v>39</v>
      </c>
      <c r="Q109" t="s">
        <v>39</v>
      </c>
      <c r="R109" t="s">
        <v>40</v>
      </c>
      <c r="S109" t="s">
        <v>39</v>
      </c>
      <c r="T109" t="s">
        <v>40</v>
      </c>
      <c r="U109" t="s">
        <v>1193</v>
      </c>
    </row>
    <row r="110" spans="1:21" x14ac:dyDescent="0.25">
      <c r="A110">
        <v>7131634</v>
      </c>
      <c r="B110" t="s">
        <v>1194</v>
      </c>
      <c r="C110" t="str">
        <f>""</f>
        <v/>
      </c>
      <c r="D110" t="str">
        <f>"9783455811315"</f>
        <v>9783455811315</v>
      </c>
      <c r="E110" s="1">
        <v>41341</v>
      </c>
      <c r="F110" s="1">
        <v>44871</v>
      </c>
      <c r="G110" t="s">
        <v>1149</v>
      </c>
      <c r="H110" t="s">
        <v>633</v>
      </c>
      <c r="L110" t="s">
        <v>973</v>
      </c>
      <c r="M110" t="s">
        <v>39</v>
      </c>
      <c r="N110" t="s">
        <v>40</v>
      </c>
      <c r="O110" t="s">
        <v>40</v>
      </c>
      <c r="P110" t="s">
        <v>39</v>
      </c>
      <c r="Q110" t="s">
        <v>39</v>
      </c>
      <c r="R110" t="s">
        <v>40</v>
      </c>
      <c r="S110" t="s">
        <v>39</v>
      </c>
      <c r="T110" t="s">
        <v>40</v>
      </c>
      <c r="U110" t="s">
        <v>1195</v>
      </c>
    </row>
    <row r="111" spans="1:21" x14ac:dyDescent="0.25">
      <c r="A111">
        <v>7131636</v>
      </c>
      <c r="B111" t="s">
        <v>1196</v>
      </c>
      <c r="C111" t="str">
        <f>""</f>
        <v/>
      </c>
      <c r="D111" t="str">
        <f>"9783455811339"</f>
        <v>9783455811339</v>
      </c>
      <c r="E111" s="1">
        <v>41341</v>
      </c>
      <c r="F111" s="1">
        <v>44871</v>
      </c>
      <c r="G111" t="s">
        <v>1149</v>
      </c>
      <c r="H111" t="s">
        <v>633</v>
      </c>
      <c r="L111" t="s">
        <v>973</v>
      </c>
      <c r="M111" t="s">
        <v>39</v>
      </c>
      <c r="N111" t="s">
        <v>40</v>
      </c>
      <c r="O111" t="s">
        <v>40</v>
      </c>
      <c r="P111" t="s">
        <v>39</v>
      </c>
      <c r="Q111" t="s">
        <v>39</v>
      </c>
      <c r="R111" t="s">
        <v>40</v>
      </c>
      <c r="S111" t="s">
        <v>39</v>
      </c>
      <c r="T111" t="s">
        <v>40</v>
      </c>
      <c r="U111" t="s">
        <v>1197</v>
      </c>
    </row>
    <row r="112" spans="1:21" x14ac:dyDescent="0.25">
      <c r="A112">
        <v>7131638</v>
      </c>
      <c r="B112" t="s">
        <v>1198</v>
      </c>
      <c r="C112" t="str">
        <f>""</f>
        <v/>
      </c>
      <c r="D112" t="str">
        <f>"9783455811353"</f>
        <v>9783455811353</v>
      </c>
      <c r="E112" s="1">
        <v>41341</v>
      </c>
      <c r="F112" s="1">
        <v>44871</v>
      </c>
      <c r="G112" t="s">
        <v>1149</v>
      </c>
      <c r="H112" t="s">
        <v>633</v>
      </c>
      <c r="L112" t="s">
        <v>973</v>
      </c>
      <c r="M112" t="s">
        <v>39</v>
      </c>
      <c r="N112" t="s">
        <v>40</v>
      </c>
      <c r="O112" t="s">
        <v>40</v>
      </c>
      <c r="P112" t="s">
        <v>39</v>
      </c>
      <c r="Q112" t="s">
        <v>39</v>
      </c>
      <c r="R112" t="s">
        <v>40</v>
      </c>
      <c r="S112" t="s">
        <v>39</v>
      </c>
      <c r="T112" t="s">
        <v>40</v>
      </c>
      <c r="U112" t="s">
        <v>1199</v>
      </c>
    </row>
    <row r="113" spans="1:21" x14ac:dyDescent="0.25">
      <c r="A113">
        <v>7131639</v>
      </c>
      <c r="B113" t="s">
        <v>1200</v>
      </c>
      <c r="C113" t="str">
        <f>""</f>
        <v/>
      </c>
      <c r="D113" t="str">
        <f>"9783455811360"</f>
        <v>9783455811360</v>
      </c>
      <c r="E113" s="1">
        <v>41341</v>
      </c>
      <c r="F113" s="1">
        <v>44871</v>
      </c>
      <c r="G113" t="s">
        <v>1149</v>
      </c>
      <c r="H113" t="s">
        <v>633</v>
      </c>
      <c r="L113" t="s">
        <v>973</v>
      </c>
      <c r="M113" t="s">
        <v>39</v>
      </c>
      <c r="N113" t="s">
        <v>40</v>
      </c>
      <c r="O113" t="s">
        <v>40</v>
      </c>
      <c r="P113" t="s">
        <v>39</v>
      </c>
      <c r="Q113" t="s">
        <v>39</v>
      </c>
      <c r="R113" t="s">
        <v>40</v>
      </c>
      <c r="S113" t="s">
        <v>39</v>
      </c>
      <c r="T113" t="s">
        <v>40</v>
      </c>
      <c r="U113" t="s">
        <v>1201</v>
      </c>
    </row>
    <row r="114" spans="1:21" x14ac:dyDescent="0.25">
      <c r="A114">
        <v>7131642</v>
      </c>
      <c r="B114" t="s">
        <v>1202</v>
      </c>
      <c r="C114" t="str">
        <f>""</f>
        <v/>
      </c>
      <c r="D114" t="str">
        <f>"9783455811391"</f>
        <v>9783455811391</v>
      </c>
      <c r="E114" s="1">
        <v>41341</v>
      </c>
      <c r="F114" s="1">
        <v>44871</v>
      </c>
      <c r="G114" t="s">
        <v>1149</v>
      </c>
      <c r="H114" t="s">
        <v>633</v>
      </c>
      <c r="L114" t="s">
        <v>973</v>
      </c>
      <c r="M114" t="s">
        <v>39</v>
      </c>
      <c r="N114" t="s">
        <v>40</v>
      </c>
      <c r="O114" t="s">
        <v>40</v>
      </c>
      <c r="P114" t="s">
        <v>39</v>
      </c>
      <c r="Q114" t="s">
        <v>39</v>
      </c>
      <c r="R114" t="s">
        <v>40</v>
      </c>
      <c r="S114" t="s">
        <v>39</v>
      </c>
      <c r="T114" t="s">
        <v>40</v>
      </c>
      <c r="U114" t="s">
        <v>1203</v>
      </c>
    </row>
    <row r="115" spans="1:21" x14ac:dyDescent="0.25">
      <c r="A115">
        <v>7131650</v>
      </c>
      <c r="B115" t="s">
        <v>1204</v>
      </c>
      <c r="C115" t="str">
        <f>""</f>
        <v/>
      </c>
      <c r="D115" t="str">
        <f>"9783455811483"</f>
        <v>9783455811483</v>
      </c>
      <c r="E115" s="1">
        <v>41341</v>
      </c>
      <c r="F115" s="1">
        <v>44871</v>
      </c>
      <c r="G115" t="s">
        <v>1149</v>
      </c>
      <c r="H115" t="s">
        <v>633</v>
      </c>
      <c r="L115" t="s">
        <v>973</v>
      </c>
      <c r="M115" t="s">
        <v>39</v>
      </c>
      <c r="N115" t="s">
        <v>40</v>
      </c>
      <c r="O115" t="s">
        <v>40</v>
      </c>
      <c r="P115" t="s">
        <v>39</v>
      </c>
      <c r="Q115" t="s">
        <v>39</v>
      </c>
      <c r="R115" t="s">
        <v>40</v>
      </c>
      <c r="S115" t="s">
        <v>39</v>
      </c>
      <c r="T115" t="s">
        <v>40</v>
      </c>
      <c r="U115" t="s">
        <v>1205</v>
      </c>
    </row>
    <row r="116" spans="1:21" x14ac:dyDescent="0.25">
      <c r="A116">
        <v>7131651</v>
      </c>
      <c r="B116" t="s">
        <v>1206</v>
      </c>
      <c r="C116" t="str">
        <f>""</f>
        <v/>
      </c>
      <c r="D116" t="str">
        <f>"9783455811490"</f>
        <v>9783455811490</v>
      </c>
      <c r="E116" s="1">
        <v>41341</v>
      </c>
      <c r="F116" s="1">
        <v>44871</v>
      </c>
      <c r="G116" t="s">
        <v>1149</v>
      </c>
      <c r="H116" t="s">
        <v>633</v>
      </c>
      <c r="L116" t="s">
        <v>973</v>
      </c>
      <c r="M116" t="s">
        <v>39</v>
      </c>
      <c r="N116" t="s">
        <v>40</v>
      </c>
      <c r="O116" t="s">
        <v>40</v>
      </c>
      <c r="P116" t="s">
        <v>39</v>
      </c>
      <c r="Q116" t="s">
        <v>39</v>
      </c>
      <c r="R116" t="s">
        <v>40</v>
      </c>
      <c r="S116" t="s">
        <v>39</v>
      </c>
      <c r="T116" t="s">
        <v>40</v>
      </c>
      <c r="U116" t="s">
        <v>1207</v>
      </c>
    </row>
    <row r="117" spans="1:21" x14ac:dyDescent="0.25">
      <c r="A117">
        <v>7131655</v>
      </c>
      <c r="B117" t="s">
        <v>1208</v>
      </c>
      <c r="C117" t="str">
        <f>""</f>
        <v/>
      </c>
      <c r="D117" t="str">
        <f>"9783455811537"</f>
        <v>9783455811537</v>
      </c>
      <c r="E117" s="1">
        <v>41341</v>
      </c>
      <c r="F117" s="1">
        <v>44871</v>
      </c>
      <c r="G117" t="s">
        <v>1149</v>
      </c>
      <c r="H117" t="s">
        <v>633</v>
      </c>
      <c r="L117" t="s">
        <v>973</v>
      </c>
      <c r="M117" t="s">
        <v>39</v>
      </c>
      <c r="N117" t="s">
        <v>40</v>
      </c>
      <c r="O117" t="s">
        <v>40</v>
      </c>
      <c r="P117" t="s">
        <v>39</v>
      </c>
      <c r="Q117" t="s">
        <v>39</v>
      </c>
      <c r="R117" t="s">
        <v>40</v>
      </c>
      <c r="S117" t="s">
        <v>39</v>
      </c>
      <c r="T117" t="s">
        <v>40</v>
      </c>
      <c r="U117" t="s">
        <v>1209</v>
      </c>
    </row>
    <row r="118" spans="1:21" x14ac:dyDescent="0.25">
      <c r="A118">
        <v>7131656</v>
      </c>
      <c r="B118" t="s">
        <v>1210</v>
      </c>
      <c r="C118" t="str">
        <f>""</f>
        <v/>
      </c>
      <c r="D118" t="str">
        <f>"9783455811544"</f>
        <v>9783455811544</v>
      </c>
      <c r="E118" s="1">
        <v>41341</v>
      </c>
      <c r="F118" s="1">
        <v>44871</v>
      </c>
      <c r="G118" t="s">
        <v>1149</v>
      </c>
      <c r="H118" t="s">
        <v>633</v>
      </c>
      <c r="L118" t="s">
        <v>973</v>
      </c>
      <c r="M118" t="s">
        <v>39</v>
      </c>
      <c r="N118" t="s">
        <v>40</v>
      </c>
      <c r="O118" t="s">
        <v>40</v>
      </c>
      <c r="P118" t="s">
        <v>39</v>
      </c>
      <c r="Q118" t="s">
        <v>39</v>
      </c>
      <c r="R118" t="s">
        <v>40</v>
      </c>
      <c r="S118" t="s">
        <v>39</v>
      </c>
      <c r="T118" t="s">
        <v>40</v>
      </c>
      <c r="U118" t="s">
        <v>1211</v>
      </c>
    </row>
    <row r="119" spans="1:21" x14ac:dyDescent="0.25">
      <c r="A119">
        <v>7131658</v>
      </c>
      <c r="B119" t="s">
        <v>1212</v>
      </c>
      <c r="C119" t="str">
        <f>""</f>
        <v/>
      </c>
      <c r="D119" t="str">
        <f>"9783455811568"</f>
        <v>9783455811568</v>
      </c>
      <c r="E119" s="1">
        <v>41341</v>
      </c>
      <c r="F119" s="1">
        <v>44871</v>
      </c>
      <c r="G119" t="s">
        <v>1149</v>
      </c>
      <c r="H119" t="s">
        <v>633</v>
      </c>
      <c r="L119" t="s">
        <v>973</v>
      </c>
      <c r="M119" t="s">
        <v>39</v>
      </c>
      <c r="N119" t="s">
        <v>40</v>
      </c>
      <c r="O119" t="s">
        <v>40</v>
      </c>
      <c r="P119" t="s">
        <v>39</v>
      </c>
      <c r="Q119" t="s">
        <v>39</v>
      </c>
      <c r="R119" t="s">
        <v>40</v>
      </c>
      <c r="S119" t="s">
        <v>39</v>
      </c>
      <c r="T119" t="s">
        <v>40</v>
      </c>
      <c r="U119" t="s">
        <v>1213</v>
      </c>
    </row>
    <row r="120" spans="1:21" x14ac:dyDescent="0.25">
      <c r="A120">
        <v>7131661</v>
      </c>
      <c r="B120" t="s">
        <v>1214</v>
      </c>
      <c r="C120" t="str">
        <f>""</f>
        <v/>
      </c>
      <c r="D120" t="str">
        <f>"9783455811599"</f>
        <v>9783455811599</v>
      </c>
      <c r="E120" s="1">
        <v>41341</v>
      </c>
      <c r="F120" s="1">
        <v>44871</v>
      </c>
      <c r="G120" t="s">
        <v>1149</v>
      </c>
      <c r="H120" t="s">
        <v>633</v>
      </c>
      <c r="L120" t="s">
        <v>973</v>
      </c>
      <c r="M120" t="s">
        <v>39</v>
      </c>
      <c r="N120" t="s">
        <v>40</v>
      </c>
      <c r="O120" t="s">
        <v>40</v>
      </c>
      <c r="P120" t="s">
        <v>39</v>
      </c>
      <c r="Q120" t="s">
        <v>39</v>
      </c>
      <c r="R120" t="s">
        <v>40</v>
      </c>
      <c r="S120" t="s">
        <v>39</v>
      </c>
      <c r="T120" t="s">
        <v>40</v>
      </c>
      <c r="U120" t="s">
        <v>1215</v>
      </c>
    </row>
    <row r="121" spans="1:21" x14ac:dyDescent="0.25">
      <c r="A121">
        <v>7131703</v>
      </c>
      <c r="B121" t="s">
        <v>1216</v>
      </c>
      <c r="C121" t="str">
        <f>"9783455403336"</f>
        <v>9783455403336</v>
      </c>
      <c r="D121" t="str">
        <f>"9783455812558"</f>
        <v>9783455812558</v>
      </c>
      <c r="E121" s="1">
        <v>41745</v>
      </c>
      <c r="F121" s="1">
        <v>44871</v>
      </c>
      <c r="G121" t="s">
        <v>792</v>
      </c>
      <c r="H121" t="s">
        <v>633</v>
      </c>
      <c r="L121" t="s">
        <v>973</v>
      </c>
      <c r="M121" t="s">
        <v>39</v>
      </c>
      <c r="N121" t="s">
        <v>40</v>
      </c>
      <c r="O121" t="s">
        <v>40</v>
      </c>
      <c r="P121" t="s">
        <v>39</v>
      </c>
      <c r="Q121" t="s">
        <v>39</v>
      </c>
      <c r="R121" t="s">
        <v>40</v>
      </c>
      <c r="S121" t="s">
        <v>39</v>
      </c>
      <c r="T121" t="s">
        <v>40</v>
      </c>
      <c r="U121" t="s">
        <v>1217</v>
      </c>
    </row>
    <row r="122" spans="1:21" x14ac:dyDescent="0.25">
      <c r="A122">
        <v>7131747</v>
      </c>
      <c r="B122" t="s">
        <v>1218</v>
      </c>
      <c r="C122" t="str">
        <f>"9783455405330"</f>
        <v>9783455405330</v>
      </c>
      <c r="D122" t="str">
        <f>"9783455813548"</f>
        <v>9783455813548</v>
      </c>
      <c r="E122" s="1">
        <v>42074</v>
      </c>
      <c r="F122" s="1">
        <v>44871</v>
      </c>
      <c r="G122" t="s">
        <v>1219</v>
      </c>
      <c r="H122" t="s">
        <v>633</v>
      </c>
      <c r="L122" t="s">
        <v>973</v>
      </c>
      <c r="M122" t="s">
        <v>39</v>
      </c>
      <c r="N122" t="s">
        <v>40</v>
      </c>
      <c r="O122" t="s">
        <v>40</v>
      </c>
      <c r="P122" t="s">
        <v>39</v>
      </c>
      <c r="Q122" t="s">
        <v>39</v>
      </c>
      <c r="R122" t="s">
        <v>40</v>
      </c>
      <c r="S122" t="s">
        <v>39</v>
      </c>
      <c r="T122" t="s">
        <v>40</v>
      </c>
      <c r="U122" t="s">
        <v>1220</v>
      </c>
    </row>
    <row r="123" spans="1:21" x14ac:dyDescent="0.25">
      <c r="A123">
        <v>7131766</v>
      </c>
      <c r="B123" t="s">
        <v>1221</v>
      </c>
      <c r="C123" t="str">
        <f>"9783455405484"</f>
        <v>9783455405484</v>
      </c>
      <c r="D123" t="str">
        <f>"9783455813791"</f>
        <v>9783455813791</v>
      </c>
      <c r="E123" s="1">
        <v>42300</v>
      </c>
      <c r="F123" s="1">
        <v>44871</v>
      </c>
      <c r="G123" t="s">
        <v>1149</v>
      </c>
      <c r="H123" t="s">
        <v>633</v>
      </c>
      <c r="L123" t="s">
        <v>973</v>
      </c>
      <c r="M123" t="s">
        <v>39</v>
      </c>
      <c r="N123" t="s">
        <v>40</v>
      </c>
      <c r="O123" t="s">
        <v>40</v>
      </c>
      <c r="P123" t="s">
        <v>39</v>
      </c>
      <c r="Q123" t="s">
        <v>39</v>
      </c>
      <c r="R123" t="s">
        <v>40</v>
      </c>
      <c r="S123" t="s">
        <v>39</v>
      </c>
      <c r="T123" t="s">
        <v>40</v>
      </c>
      <c r="U123" t="s">
        <v>1222</v>
      </c>
    </row>
    <row r="124" spans="1:21" x14ac:dyDescent="0.25">
      <c r="A124">
        <v>7150531</v>
      </c>
      <c r="B124" t="s">
        <v>1223</v>
      </c>
      <c r="C124" t="str">
        <f>"9783455042849"</f>
        <v>9783455042849</v>
      </c>
      <c r="D124" t="str">
        <f>"9783455042900"</f>
        <v>9783455042900</v>
      </c>
      <c r="E124" s="1">
        <v>39877</v>
      </c>
      <c r="F124" s="1">
        <v>44897</v>
      </c>
      <c r="G124" t="s">
        <v>1149</v>
      </c>
      <c r="H124" t="s">
        <v>633</v>
      </c>
      <c r="L124" t="s">
        <v>973</v>
      </c>
      <c r="M124" t="s">
        <v>39</v>
      </c>
      <c r="N124" t="s">
        <v>40</v>
      </c>
      <c r="O124" t="s">
        <v>40</v>
      </c>
      <c r="P124" t="s">
        <v>39</v>
      </c>
      <c r="Q124" t="s">
        <v>39</v>
      </c>
      <c r="R124" t="s">
        <v>40</v>
      </c>
      <c r="S124" t="s">
        <v>39</v>
      </c>
      <c r="T124" t="s">
        <v>40</v>
      </c>
      <c r="U124" t="s">
        <v>1224</v>
      </c>
    </row>
    <row r="125" spans="1:21" x14ac:dyDescent="0.25">
      <c r="A125">
        <v>7150533</v>
      </c>
      <c r="B125" t="s">
        <v>1225</v>
      </c>
      <c r="C125" t="str">
        <f>"9783455401844"</f>
        <v>9783455401844</v>
      </c>
      <c r="D125" t="str">
        <f>"9783455402148"</f>
        <v>9783455402148</v>
      </c>
      <c r="E125" s="1">
        <v>39877</v>
      </c>
      <c r="F125" s="1">
        <v>44897</v>
      </c>
      <c r="G125" t="s">
        <v>1226</v>
      </c>
      <c r="H125" t="s">
        <v>633</v>
      </c>
      <c r="L125" t="s">
        <v>973</v>
      </c>
      <c r="M125" t="s">
        <v>39</v>
      </c>
      <c r="N125" t="s">
        <v>40</v>
      </c>
      <c r="O125" t="s">
        <v>40</v>
      </c>
      <c r="P125" t="s">
        <v>39</v>
      </c>
      <c r="Q125" t="s">
        <v>39</v>
      </c>
      <c r="R125" t="s">
        <v>40</v>
      </c>
      <c r="S125" t="s">
        <v>39</v>
      </c>
      <c r="T125" t="s">
        <v>40</v>
      </c>
      <c r="U125" t="s">
        <v>1227</v>
      </c>
    </row>
    <row r="126" spans="1:21" x14ac:dyDescent="0.25">
      <c r="A126">
        <v>7150538</v>
      </c>
      <c r="B126" t="s">
        <v>1228</v>
      </c>
      <c r="C126" t="str">
        <f>"9783455404968"</f>
        <v>9783455404968</v>
      </c>
      <c r="D126" t="str">
        <f>"9783455813531"</f>
        <v>9783455813531</v>
      </c>
      <c r="E126" s="1">
        <v>42023</v>
      </c>
      <c r="F126" s="1">
        <v>44897</v>
      </c>
      <c r="G126" t="s">
        <v>792</v>
      </c>
      <c r="H126" t="s">
        <v>633</v>
      </c>
      <c r="L126" t="s">
        <v>973</v>
      </c>
      <c r="M126" t="s">
        <v>39</v>
      </c>
      <c r="N126" t="s">
        <v>40</v>
      </c>
      <c r="O126" t="s">
        <v>40</v>
      </c>
      <c r="P126" t="s">
        <v>39</v>
      </c>
      <c r="Q126" t="s">
        <v>39</v>
      </c>
      <c r="R126" t="s">
        <v>40</v>
      </c>
      <c r="S126" t="s">
        <v>39</v>
      </c>
      <c r="T126" t="s">
        <v>40</v>
      </c>
      <c r="U126" t="s">
        <v>1229</v>
      </c>
    </row>
    <row r="127" spans="1:21" x14ac:dyDescent="0.25">
      <c r="A127">
        <v>7176754</v>
      </c>
      <c r="B127" t="s">
        <v>1235</v>
      </c>
      <c r="C127" t="str">
        <f>"9783608501902"</f>
        <v>9783608501902</v>
      </c>
      <c r="D127" t="str">
        <f>"9783608121438"</f>
        <v>9783608121438</v>
      </c>
      <c r="E127" s="1">
        <v>44940</v>
      </c>
      <c r="F127" s="1">
        <v>44941</v>
      </c>
      <c r="G127" t="s">
        <v>1236</v>
      </c>
      <c r="H127" t="s">
        <v>633</v>
      </c>
      <c r="L127" t="s">
        <v>973</v>
      </c>
      <c r="M127" t="s">
        <v>39</v>
      </c>
      <c r="N127" t="s">
        <v>40</v>
      </c>
      <c r="O127" t="s">
        <v>40</v>
      </c>
      <c r="P127" t="s">
        <v>39</v>
      </c>
      <c r="Q127" t="s">
        <v>39</v>
      </c>
      <c r="R127" t="s">
        <v>39</v>
      </c>
      <c r="S127" t="s">
        <v>39</v>
      </c>
      <c r="T127" t="s">
        <v>40</v>
      </c>
      <c r="U127" t="s">
        <v>1237</v>
      </c>
    </row>
    <row r="128" spans="1:21" x14ac:dyDescent="0.25">
      <c r="A128">
        <v>7186112</v>
      </c>
      <c r="B128" t="s">
        <v>1238</v>
      </c>
      <c r="C128" t="str">
        <f>"9783835354289"</f>
        <v>9783835354289</v>
      </c>
      <c r="D128" t="str">
        <f>"9783835349964"</f>
        <v>9783835349964</v>
      </c>
      <c r="E128" s="1">
        <v>44951</v>
      </c>
      <c r="F128" s="1">
        <v>44952</v>
      </c>
      <c r="G128" t="s">
        <v>972</v>
      </c>
      <c r="H128" t="s">
        <v>633</v>
      </c>
      <c r="L128" t="s">
        <v>973</v>
      </c>
      <c r="M128" t="s">
        <v>39</v>
      </c>
      <c r="N128" t="s">
        <v>40</v>
      </c>
      <c r="O128" t="s">
        <v>40</v>
      </c>
      <c r="P128" t="s">
        <v>39</v>
      </c>
      <c r="Q128" t="s">
        <v>39</v>
      </c>
      <c r="R128" t="s">
        <v>40</v>
      </c>
      <c r="S128" t="s">
        <v>39</v>
      </c>
      <c r="T128" t="s">
        <v>40</v>
      </c>
      <c r="U128" t="s">
        <v>1239</v>
      </c>
    </row>
    <row r="129" spans="1:21" x14ac:dyDescent="0.25">
      <c r="A129">
        <v>7188366</v>
      </c>
      <c r="B129" t="s">
        <v>1246</v>
      </c>
      <c r="C129" t="str">
        <f>"9783455015485"</f>
        <v>9783455015485</v>
      </c>
      <c r="D129" t="str">
        <f>"9783455015492"</f>
        <v>9783455015492</v>
      </c>
      <c r="E129" s="1">
        <v>44958</v>
      </c>
      <c r="F129" s="1">
        <v>44959</v>
      </c>
      <c r="G129" t="s">
        <v>1153</v>
      </c>
      <c r="H129" t="s">
        <v>633</v>
      </c>
      <c r="L129" t="s">
        <v>973</v>
      </c>
      <c r="M129" t="s">
        <v>39</v>
      </c>
      <c r="N129" t="s">
        <v>40</v>
      </c>
      <c r="O129" t="s">
        <v>40</v>
      </c>
      <c r="P129" t="s">
        <v>39</v>
      </c>
      <c r="Q129" t="s">
        <v>39</v>
      </c>
      <c r="R129" t="s">
        <v>40</v>
      </c>
      <c r="S129" t="s">
        <v>39</v>
      </c>
      <c r="T129" t="s">
        <v>40</v>
      </c>
      <c r="U129" t="s">
        <v>1247</v>
      </c>
    </row>
    <row r="130" spans="1:21" x14ac:dyDescent="0.25">
      <c r="A130">
        <v>7234696</v>
      </c>
      <c r="B130" t="s">
        <v>1296</v>
      </c>
      <c r="C130" t="str">
        <f>"9783803128140"</f>
        <v>9783803128140</v>
      </c>
      <c r="D130" t="str">
        <f>"9783803142559"</f>
        <v>9783803142559</v>
      </c>
      <c r="E130" s="1">
        <v>43538</v>
      </c>
      <c r="F130" s="1">
        <v>45023</v>
      </c>
      <c r="G130" t="s">
        <v>1297</v>
      </c>
      <c r="H130" t="s">
        <v>633</v>
      </c>
      <c r="L130" t="s">
        <v>973</v>
      </c>
      <c r="M130" t="s">
        <v>39</v>
      </c>
      <c r="N130" t="s">
        <v>40</v>
      </c>
      <c r="O130" t="s">
        <v>40</v>
      </c>
      <c r="P130" t="s">
        <v>39</v>
      </c>
      <c r="Q130" t="s">
        <v>39</v>
      </c>
      <c r="R130" t="s">
        <v>39</v>
      </c>
      <c r="S130" t="s">
        <v>39</v>
      </c>
      <c r="T130" t="s">
        <v>40</v>
      </c>
      <c r="U130" t="s">
        <v>1298</v>
      </c>
    </row>
    <row r="131" spans="1:21" x14ac:dyDescent="0.25">
      <c r="A131">
        <v>7264728</v>
      </c>
      <c r="B131" t="s">
        <v>1340</v>
      </c>
      <c r="C131" t="str">
        <f>"9783455042122"</f>
        <v>9783455042122</v>
      </c>
      <c r="D131" t="str">
        <f>"9783455811438"</f>
        <v>9783455811438</v>
      </c>
      <c r="E131" s="1">
        <v>41341</v>
      </c>
      <c r="F131" s="1">
        <v>45101</v>
      </c>
      <c r="G131" t="s">
        <v>1149</v>
      </c>
      <c r="H131" t="s">
        <v>633</v>
      </c>
      <c r="L131" t="s">
        <v>973</v>
      </c>
      <c r="M131" t="s">
        <v>39</v>
      </c>
      <c r="N131" t="s">
        <v>40</v>
      </c>
      <c r="O131" t="s">
        <v>40</v>
      </c>
      <c r="P131" t="s">
        <v>39</v>
      </c>
      <c r="Q131" t="s">
        <v>39</v>
      </c>
      <c r="R131" t="s">
        <v>40</v>
      </c>
      <c r="S131" t="s">
        <v>39</v>
      </c>
      <c r="T131" t="s">
        <v>40</v>
      </c>
      <c r="U131" t="s">
        <v>1341</v>
      </c>
    </row>
    <row r="132" spans="1:21" x14ac:dyDescent="0.25">
      <c r="A132">
        <v>7268638</v>
      </c>
      <c r="B132" t="s">
        <v>1358</v>
      </c>
      <c r="C132" t="str">
        <f>"9783455405705"</f>
        <v>9783455405705</v>
      </c>
      <c r="D132" t="str">
        <f>"9783455814026"</f>
        <v>9783455814026</v>
      </c>
      <c r="E132" s="1">
        <v>42427</v>
      </c>
      <c r="F132" s="1">
        <v>45115</v>
      </c>
      <c r="G132" t="s">
        <v>1149</v>
      </c>
      <c r="H132" t="s">
        <v>633</v>
      </c>
      <c r="L132" t="s">
        <v>973</v>
      </c>
      <c r="M132" t="s">
        <v>39</v>
      </c>
      <c r="N132" t="s">
        <v>40</v>
      </c>
      <c r="O132" t="s">
        <v>40</v>
      </c>
      <c r="P132" t="s">
        <v>39</v>
      </c>
      <c r="Q132" t="s">
        <v>39</v>
      </c>
      <c r="R132" t="s">
        <v>40</v>
      </c>
      <c r="S132" t="s">
        <v>39</v>
      </c>
      <c r="T132" t="s">
        <v>40</v>
      </c>
      <c r="U132" t="s">
        <v>1359</v>
      </c>
    </row>
    <row r="133" spans="1:21" x14ac:dyDescent="0.25">
      <c r="A133">
        <v>7293840</v>
      </c>
      <c r="B133" t="s">
        <v>1401</v>
      </c>
      <c r="C133" t="str">
        <f>"9783455016420"</f>
        <v>9783455016420</v>
      </c>
      <c r="D133" t="str">
        <f>"9783455016437"</f>
        <v>9783455016437</v>
      </c>
      <c r="E133" s="1">
        <v>45204</v>
      </c>
      <c r="F133" s="1">
        <v>45205</v>
      </c>
      <c r="G133" t="s">
        <v>1153</v>
      </c>
      <c r="H133" t="s">
        <v>633</v>
      </c>
      <c r="L133" t="s">
        <v>973</v>
      </c>
      <c r="M133" t="s">
        <v>39</v>
      </c>
      <c r="N133" t="s">
        <v>40</v>
      </c>
      <c r="O133" t="s">
        <v>40</v>
      </c>
      <c r="P133" t="s">
        <v>39</v>
      </c>
      <c r="Q133" t="s">
        <v>39</v>
      </c>
      <c r="R133" t="s">
        <v>40</v>
      </c>
      <c r="S133" t="s">
        <v>39</v>
      </c>
      <c r="T133" t="s">
        <v>40</v>
      </c>
      <c r="U133" t="s">
        <v>1402</v>
      </c>
    </row>
    <row r="134" spans="1:21" x14ac:dyDescent="0.25">
      <c r="A134">
        <v>29219036</v>
      </c>
      <c r="B134" t="s">
        <v>1403</v>
      </c>
      <c r="C134" t="str">
        <f>"9788483933145"</f>
        <v>9788483933145</v>
      </c>
      <c r="D134" t="str">
        <f>"9788483936856"</f>
        <v>9788483936856</v>
      </c>
      <c r="E134" s="1">
        <v>44743</v>
      </c>
      <c r="F134" s="1">
        <v>44680</v>
      </c>
      <c r="G134" t="s">
        <v>1404</v>
      </c>
      <c r="H134" t="s">
        <v>633</v>
      </c>
      <c r="L134" t="s">
        <v>634</v>
      </c>
    </row>
    <row r="135" spans="1:21" x14ac:dyDescent="0.25">
      <c r="A135">
        <v>29369731</v>
      </c>
      <c r="B135" t="s">
        <v>1405</v>
      </c>
      <c r="C135" t="str">
        <f>"9788416964277"</f>
        <v>9788416964277</v>
      </c>
      <c r="D135" t="str">
        <f>"9788417041090"</f>
        <v>9788417041090</v>
      </c>
      <c r="E135" s="1">
        <v>42917</v>
      </c>
      <c r="F135" s="1">
        <v>44757</v>
      </c>
      <c r="G135" t="s">
        <v>1406</v>
      </c>
      <c r="H135" t="s">
        <v>633</v>
      </c>
      <c r="L135" t="s">
        <v>634</v>
      </c>
    </row>
    <row r="136" spans="1:21" x14ac:dyDescent="0.25">
      <c r="A136">
        <v>29378801</v>
      </c>
      <c r="B136" t="s">
        <v>1407</v>
      </c>
      <c r="C136" t="str">
        <f>"9788483933176"</f>
        <v>9788483933176</v>
      </c>
      <c r="D136" t="str">
        <f>"9788483936863"</f>
        <v>9788483936863</v>
      </c>
      <c r="E136" s="1">
        <v>44743</v>
      </c>
      <c r="F136" s="1">
        <v>44762</v>
      </c>
      <c r="G136" t="s">
        <v>1408</v>
      </c>
      <c r="H136" t="s">
        <v>633</v>
      </c>
      <c r="L136" t="s">
        <v>634</v>
      </c>
    </row>
    <row r="137" spans="1:21" x14ac:dyDescent="0.25">
      <c r="A137">
        <v>29408144</v>
      </c>
      <c r="B137" t="s">
        <v>1409</v>
      </c>
      <c r="C137" t="str">
        <f>"9788417268497"</f>
        <v>9788417268497</v>
      </c>
      <c r="D137" t="str">
        <f>"9788417268619"</f>
        <v>9788417268619</v>
      </c>
      <c r="E137" s="1">
        <v>44405</v>
      </c>
      <c r="F137" s="1">
        <v>44776</v>
      </c>
      <c r="G137" t="s">
        <v>1410</v>
      </c>
      <c r="H137" t="s">
        <v>633</v>
      </c>
      <c r="L137" t="s">
        <v>634</v>
      </c>
    </row>
    <row r="138" spans="1:21" x14ac:dyDescent="0.25">
      <c r="A138">
        <v>30186618</v>
      </c>
      <c r="B138" t="s">
        <v>1411</v>
      </c>
      <c r="C138" t="str">
        <f>"9788495642622"</f>
        <v>9788495642622</v>
      </c>
      <c r="D138" t="str">
        <f>"9788483935125"</f>
        <v>9788483935125</v>
      </c>
      <c r="E138" s="1">
        <v>38534</v>
      </c>
      <c r="F138" s="1">
        <v>44854</v>
      </c>
      <c r="G138" t="s">
        <v>1412</v>
      </c>
      <c r="H138" t="s">
        <v>633</v>
      </c>
      <c r="L138" t="s">
        <v>634</v>
      </c>
    </row>
    <row r="139" spans="1:21" x14ac:dyDescent="0.25">
      <c r="A139">
        <v>30186638</v>
      </c>
      <c r="B139" t="s">
        <v>1414</v>
      </c>
      <c r="C139" t="str">
        <f>"9788483931448"</f>
        <v>9788483931448</v>
      </c>
      <c r="D139" t="str">
        <f>"9788483935194"</f>
        <v>9788483935194</v>
      </c>
      <c r="E139" s="1">
        <v>42517</v>
      </c>
      <c r="F139" s="1">
        <v>44854</v>
      </c>
      <c r="G139" t="s">
        <v>0</v>
      </c>
      <c r="H139" t="s">
        <v>633</v>
      </c>
      <c r="L139" t="s">
        <v>634</v>
      </c>
    </row>
    <row r="140" spans="1:21" x14ac:dyDescent="0.25">
      <c r="A140">
        <v>30186642</v>
      </c>
      <c r="B140" t="s">
        <v>1415</v>
      </c>
      <c r="C140" t="str">
        <f>"9788483932339"</f>
        <v>9788483932339</v>
      </c>
      <c r="D140" t="str">
        <f>"9788483936115"</f>
        <v>9788483936115</v>
      </c>
      <c r="E140" s="1">
        <v>43282</v>
      </c>
      <c r="F140" s="1">
        <v>44854</v>
      </c>
      <c r="G140" t="s">
        <v>1416</v>
      </c>
      <c r="H140" t="s">
        <v>633</v>
      </c>
      <c r="L140" t="s">
        <v>634</v>
      </c>
    </row>
    <row r="141" spans="1:21" x14ac:dyDescent="0.25">
      <c r="A141">
        <v>30186653</v>
      </c>
      <c r="B141" t="s">
        <v>1419</v>
      </c>
      <c r="C141" t="str">
        <f>"9788483932940"</f>
        <v>9788483932940</v>
      </c>
      <c r="D141" t="str">
        <f>"9788483936740"</f>
        <v>9788483936740</v>
      </c>
      <c r="E141" s="1">
        <v>44328</v>
      </c>
      <c r="F141" s="1">
        <v>44854</v>
      </c>
      <c r="G141" t="s">
        <v>1420</v>
      </c>
      <c r="H141" t="s">
        <v>633</v>
      </c>
      <c r="L141" t="s">
        <v>634</v>
      </c>
    </row>
    <row r="142" spans="1:21" x14ac:dyDescent="0.25">
      <c r="A142">
        <v>30186669</v>
      </c>
      <c r="B142" t="s">
        <v>1421</v>
      </c>
      <c r="C142" t="str">
        <f>"9788483931837"</f>
        <v>9788483931837</v>
      </c>
      <c r="D142" t="str">
        <f>"9788483935309"</f>
        <v>9788483935309</v>
      </c>
      <c r="E142" s="1">
        <v>42186</v>
      </c>
      <c r="F142" s="1">
        <v>44854</v>
      </c>
      <c r="G142" t="s">
        <v>1422</v>
      </c>
      <c r="H142" t="s">
        <v>633</v>
      </c>
      <c r="L142" t="s">
        <v>634</v>
      </c>
    </row>
    <row r="143" spans="1:21" x14ac:dyDescent="0.25">
      <c r="A143">
        <v>30186673</v>
      </c>
      <c r="B143" t="s">
        <v>1423</v>
      </c>
      <c r="C143" t="str">
        <f>"9788483932445"</f>
        <v>9788483932445</v>
      </c>
      <c r="D143" t="str">
        <f>"9788483936337"</f>
        <v>9788483936337</v>
      </c>
      <c r="E143" s="1">
        <v>43362</v>
      </c>
      <c r="F143" s="1">
        <v>44854</v>
      </c>
      <c r="G143" t="s">
        <v>1424</v>
      </c>
      <c r="H143" t="s">
        <v>633</v>
      </c>
      <c r="L143" t="s">
        <v>634</v>
      </c>
    </row>
    <row r="144" spans="1:21" x14ac:dyDescent="0.25">
      <c r="A144">
        <v>30186681</v>
      </c>
      <c r="B144" t="s">
        <v>1425</v>
      </c>
      <c r="C144" t="str">
        <f>"9788483932872"</f>
        <v>9788483932872</v>
      </c>
      <c r="D144" t="str">
        <f>"9788483936696"</f>
        <v>9788483936696</v>
      </c>
      <c r="E144" s="1">
        <v>44230</v>
      </c>
      <c r="F144" s="1">
        <v>44854</v>
      </c>
      <c r="G144" t="s">
        <v>1426</v>
      </c>
      <c r="H144" t="s">
        <v>633</v>
      </c>
      <c r="L144" t="s">
        <v>634</v>
      </c>
    </row>
    <row r="145" spans="1:12" x14ac:dyDescent="0.25">
      <c r="A145">
        <v>30186684</v>
      </c>
      <c r="B145" t="s">
        <v>1427</v>
      </c>
      <c r="C145" t="str">
        <f>"9788483932292"</f>
        <v>9788483932292</v>
      </c>
      <c r="D145" t="str">
        <f>"9788483936108"</f>
        <v>9788483936108</v>
      </c>
      <c r="E145" s="1">
        <v>43647</v>
      </c>
      <c r="F145" s="1">
        <v>44854</v>
      </c>
      <c r="G145" t="s">
        <v>1428</v>
      </c>
      <c r="H145" t="s">
        <v>633</v>
      </c>
      <c r="L145" t="s">
        <v>634</v>
      </c>
    </row>
    <row r="146" spans="1:12" x14ac:dyDescent="0.25">
      <c r="A146">
        <v>30186685</v>
      </c>
      <c r="B146" t="s">
        <v>1429</v>
      </c>
      <c r="C146" t="str">
        <f>"9788483932773"</f>
        <v>9788483932773</v>
      </c>
      <c r="D146" t="str">
        <f>"9788483936603"</f>
        <v>9788483936603</v>
      </c>
      <c r="E146" s="1">
        <v>44013</v>
      </c>
      <c r="F146" s="1">
        <v>44854</v>
      </c>
      <c r="G146" t="s">
        <v>1430</v>
      </c>
      <c r="H146" t="s">
        <v>633</v>
      </c>
      <c r="L146" t="s">
        <v>634</v>
      </c>
    </row>
    <row r="147" spans="1:12" x14ac:dyDescent="0.25">
      <c r="A147">
        <v>30186690</v>
      </c>
      <c r="B147" t="s">
        <v>1431</v>
      </c>
      <c r="C147" t="str">
        <f>"9788483932919"</f>
        <v>9788483932919</v>
      </c>
      <c r="D147" t="str">
        <f>"9788483936726"</f>
        <v>9788483936726</v>
      </c>
      <c r="E147" s="1">
        <v>44378</v>
      </c>
      <c r="F147" s="1">
        <v>44854</v>
      </c>
      <c r="G147" t="s">
        <v>1418</v>
      </c>
      <c r="H147" t="s">
        <v>633</v>
      </c>
      <c r="L147" t="s">
        <v>634</v>
      </c>
    </row>
    <row r="148" spans="1:12" x14ac:dyDescent="0.25">
      <c r="A148">
        <v>30186702</v>
      </c>
      <c r="B148" t="s">
        <v>1433</v>
      </c>
      <c r="C148" t="str">
        <f>"9788483932346"</f>
        <v>9788483932346</v>
      </c>
      <c r="D148" t="str">
        <f>"9788483936139"</f>
        <v>9788483936139</v>
      </c>
      <c r="E148" s="1">
        <v>43282</v>
      </c>
      <c r="F148" s="1">
        <v>44854</v>
      </c>
      <c r="G148" t="s">
        <v>1434</v>
      </c>
      <c r="H148" t="s">
        <v>633</v>
      </c>
      <c r="L148" t="s">
        <v>634</v>
      </c>
    </row>
    <row r="149" spans="1:12" x14ac:dyDescent="0.25">
      <c r="A149">
        <v>30186703</v>
      </c>
      <c r="B149" t="s">
        <v>1435</v>
      </c>
      <c r="C149" t="str">
        <f>"9788483932896"</f>
        <v>9788483932896</v>
      </c>
      <c r="D149" t="str">
        <f>"9788483936719"</f>
        <v>9788483936719</v>
      </c>
      <c r="E149" s="1">
        <v>44378</v>
      </c>
      <c r="F149" s="1">
        <v>44854</v>
      </c>
      <c r="G149" t="s">
        <v>1434</v>
      </c>
      <c r="H149" t="s">
        <v>633</v>
      </c>
      <c r="L149" t="s">
        <v>634</v>
      </c>
    </row>
    <row r="150" spans="1:12" x14ac:dyDescent="0.25">
      <c r="A150">
        <v>30186712</v>
      </c>
      <c r="B150" t="s">
        <v>1439</v>
      </c>
      <c r="C150" t="str">
        <f>"9788483932322"</f>
        <v>9788483932322</v>
      </c>
      <c r="D150" t="str">
        <f>"9788483936092"</f>
        <v>9788483936092</v>
      </c>
      <c r="E150" s="1">
        <v>43282</v>
      </c>
      <c r="F150" s="1">
        <v>44854</v>
      </c>
      <c r="G150" t="s">
        <v>1408</v>
      </c>
      <c r="H150" t="s">
        <v>633</v>
      </c>
      <c r="L150" t="s">
        <v>634</v>
      </c>
    </row>
    <row r="151" spans="1:12" x14ac:dyDescent="0.25">
      <c r="A151">
        <v>30186726</v>
      </c>
      <c r="B151" t="s">
        <v>1440</v>
      </c>
      <c r="C151" t="str">
        <f>"9788483932933"</f>
        <v>9788483932933</v>
      </c>
      <c r="D151" t="str">
        <f>"9788483936733"</f>
        <v>9788483936733</v>
      </c>
      <c r="E151" s="1">
        <v>44378</v>
      </c>
      <c r="F151" s="1">
        <v>44854</v>
      </c>
      <c r="G151" t="s">
        <v>1441</v>
      </c>
      <c r="H151" t="s">
        <v>633</v>
      </c>
      <c r="L151" t="s">
        <v>634</v>
      </c>
    </row>
    <row r="152" spans="1:12" x14ac:dyDescent="0.25">
      <c r="A152">
        <v>30186728</v>
      </c>
      <c r="B152" t="s">
        <v>1442</v>
      </c>
      <c r="C152" t="str">
        <f>"9788483933190"</f>
        <v>9788483933190</v>
      </c>
      <c r="D152" t="str">
        <f>"9788483936894"</f>
        <v>9788483936894</v>
      </c>
      <c r="E152" s="1">
        <v>44743</v>
      </c>
      <c r="F152" s="1">
        <v>44854</v>
      </c>
      <c r="G152" t="s">
        <v>1443</v>
      </c>
      <c r="H152" t="s">
        <v>633</v>
      </c>
      <c r="L152" t="s">
        <v>634</v>
      </c>
    </row>
    <row r="153" spans="1:12" x14ac:dyDescent="0.25">
      <c r="A153">
        <v>30186739</v>
      </c>
      <c r="B153" t="s">
        <v>1445</v>
      </c>
      <c r="C153" t="str">
        <f>"9788483932575"</f>
        <v>9788483932575</v>
      </c>
      <c r="D153" t="str">
        <f>"9788483936429"</f>
        <v>9788483936429</v>
      </c>
      <c r="E153" s="1">
        <v>43647</v>
      </c>
      <c r="F153" s="1">
        <v>44854</v>
      </c>
      <c r="G153" t="s">
        <v>1412</v>
      </c>
      <c r="H153" t="s">
        <v>633</v>
      </c>
      <c r="L153" t="s">
        <v>634</v>
      </c>
    </row>
    <row r="154" spans="1:12" x14ac:dyDescent="0.25">
      <c r="A154">
        <v>30186740</v>
      </c>
      <c r="B154" t="s">
        <v>1446</v>
      </c>
      <c r="C154" t="str">
        <f>"9788483930595"</f>
        <v>9788483930595</v>
      </c>
      <c r="D154" t="str">
        <f>"9788483935491"</f>
        <v>9788483935491</v>
      </c>
      <c r="E154" s="1">
        <v>40725</v>
      </c>
      <c r="F154" s="1">
        <v>44854</v>
      </c>
      <c r="G154" t="s">
        <v>1437</v>
      </c>
      <c r="H154" t="s">
        <v>633</v>
      </c>
      <c r="L154" t="s">
        <v>634</v>
      </c>
    </row>
    <row r="155" spans="1:12" x14ac:dyDescent="0.25">
      <c r="A155">
        <v>30186783</v>
      </c>
      <c r="B155" t="s">
        <v>1448</v>
      </c>
      <c r="C155" t="str">
        <f>"9788483931813"</f>
        <v>9788483931813</v>
      </c>
      <c r="D155" t="str">
        <f>"9788483935088"</f>
        <v>9788483935088</v>
      </c>
      <c r="E155" s="1">
        <v>42186</v>
      </c>
      <c r="F155" s="1">
        <v>44854</v>
      </c>
      <c r="G155" t="s">
        <v>1428</v>
      </c>
      <c r="H155" t="s">
        <v>633</v>
      </c>
      <c r="L155" t="s">
        <v>634</v>
      </c>
    </row>
    <row r="156" spans="1:12" x14ac:dyDescent="0.25">
      <c r="A156">
        <v>30186796</v>
      </c>
      <c r="B156" t="s">
        <v>1449</v>
      </c>
      <c r="C156" t="str">
        <f>"9788483931806"</f>
        <v>9788483931806</v>
      </c>
      <c r="D156" t="str">
        <f>"9788483935118"</f>
        <v>9788483935118</v>
      </c>
      <c r="E156" s="1">
        <v>42186</v>
      </c>
      <c r="F156" s="1">
        <v>44854</v>
      </c>
      <c r="G156" t="s">
        <v>1412</v>
      </c>
      <c r="H156" t="s">
        <v>633</v>
      </c>
      <c r="L156" t="s">
        <v>634</v>
      </c>
    </row>
    <row r="157" spans="1:12" x14ac:dyDescent="0.25">
      <c r="A157">
        <v>30332412</v>
      </c>
      <c r="B157" t="s">
        <v>1450</v>
      </c>
      <c r="C157" t="str">
        <f>"9789585599314"</f>
        <v>9789585599314</v>
      </c>
      <c r="D157" t="str">
        <f>"9789585599321"</f>
        <v>9789585599321</v>
      </c>
      <c r="E157" s="1">
        <v>43745</v>
      </c>
      <c r="F157" s="1">
        <v>45276</v>
      </c>
      <c r="G157" t="s">
        <v>1451</v>
      </c>
      <c r="H157" t="s">
        <v>633</v>
      </c>
      <c r="L157" t="s">
        <v>634</v>
      </c>
    </row>
    <row r="158" spans="1:12" x14ac:dyDescent="0.25">
      <c r="A158">
        <v>30332616</v>
      </c>
      <c r="B158" t="s">
        <v>1452</v>
      </c>
      <c r="C158" t="str">
        <f>"9789585599338"</f>
        <v>9789585599338</v>
      </c>
      <c r="D158" t="str">
        <f>"9789585599345"</f>
        <v>9789585599345</v>
      </c>
      <c r="E158" s="1">
        <v>43745</v>
      </c>
      <c r="F158" s="1">
        <v>45278</v>
      </c>
      <c r="G158" t="s">
        <v>1451</v>
      </c>
      <c r="H158" t="s">
        <v>633</v>
      </c>
      <c r="L158" t="s">
        <v>634</v>
      </c>
    </row>
    <row r="159" spans="1:12" x14ac:dyDescent="0.25">
      <c r="A159">
        <v>30975647</v>
      </c>
      <c r="B159" t="s">
        <v>1538</v>
      </c>
      <c r="C159" t="str">
        <f>"9786078851508"</f>
        <v>9786078851508</v>
      </c>
      <c r="D159" t="str">
        <f>"9786078851386"</f>
        <v>9786078851386</v>
      </c>
      <c r="E159" s="1">
        <v>45258</v>
      </c>
      <c r="F159" s="1">
        <v>45259</v>
      </c>
      <c r="G159" t="s">
        <v>1539</v>
      </c>
      <c r="H159" t="s">
        <v>633</v>
      </c>
      <c r="L159" t="s">
        <v>634</v>
      </c>
    </row>
    <row r="160" spans="1:12" x14ac:dyDescent="0.25">
      <c r="A160">
        <v>31129796</v>
      </c>
      <c r="B160" t="s">
        <v>1570</v>
      </c>
      <c r="C160" t="str">
        <f>"9788418730580"</f>
        <v>9788418730580</v>
      </c>
      <c r="D160" t="str">
        <f>"9788418730597"</f>
        <v>9788418730597</v>
      </c>
      <c r="E160" s="1">
        <v>44368</v>
      </c>
      <c r="F160" s="1">
        <v>45330</v>
      </c>
      <c r="G160" t="s">
        <v>1571</v>
      </c>
      <c r="H160" t="s">
        <v>633</v>
      </c>
      <c r="L160" t="s">
        <v>634</v>
      </c>
    </row>
    <row r="161" spans="1:21" x14ac:dyDescent="0.25">
      <c r="A161">
        <v>31130107</v>
      </c>
      <c r="B161" t="s">
        <v>1572</v>
      </c>
      <c r="C161" t="str">
        <f>"9788418230882"</f>
        <v>9788418230882</v>
      </c>
      <c r="D161" t="str">
        <f>"9788418730238"</f>
        <v>9788418730238</v>
      </c>
      <c r="E161" s="1">
        <v>44517</v>
      </c>
      <c r="F161" s="1">
        <v>45330</v>
      </c>
      <c r="G161" t="s">
        <v>1571</v>
      </c>
      <c r="H161" t="s">
        <v>633</v>
      </c>
      <c r="L161" t="s">
        <v>634</v>
      </c>
    </row>
    <row r="162" spans="1:21" x14ac:dyDescent="0.25">
      <c r="A162">
        <v>31136694</v>
      </c>
      <c r="B162" t="s">
        <v>1573</v>
      </c>
      <c r="C162" t="str">
        <f>"9788483933466"</f>
        <v>9788483933466</v>
      </c>
      <c r="D162" t="str">
        <f>"9788483937051"</f>
        <v>9788483937051</v>
      </c>
      <c r="E162" s="1">
        <v>45357</v>
      </c>
      <c r="F162" s="1">
        <v>45332</v>
      </c>
      <c r="G162" t="s">
        <v>1412</v>
      </c>
      <c r="H162" t="s">
        <v>633</v>
      </c>
      <c r="L162" t="s">
        <v>634</v>
      </c>
    </row>
    <row r="163" spans="1:21" x14ac:dyDescent="0.25">
      <c r="A163">
        <v>31202235</v>
      </c>
      <c r="B163" t="s">
        <v>1588</v>
      </c>
      <c r="C163" t="str">
        <f>""</f>
        <v/>
      </c>
      <c r="D163" t="str">
        <f>"9788410183131"</f>
        <v>9788410183131</v>
      </c>
      <c r="E163" s="1">
        <v>45371</v>
      </c>
      <c r="F163" s="1">
        <v>45359</v>
      </c>
      <c r="G163" t="s">
        <v>1589</v>
      </c>
      <c r="H163" t="s">
        <v>633</v>
      </c>
      <c r="L163" t="s">
        <v>634</v>
      </c>
    </row>
    <row r="164" spans="1:21" x14ac:dyDescent="0.25">
      <c r="A164">
        <v>465529</v>
      </c>
      <c r="B164" t="s">
        <v>80</v>
      </c>
      <c r="C164" t="str">
        <f>"9780415774239"</f>
        <v>9780415774239</v>
      </c>
      <c r="D164" t="str">
        <f>"9780203854198"</f>
        <v>9780203854198</v>
      </c>
      <c r="E164" s="1">
        <v>40198</v>
      </c>
      <c r="F164" s="1">
        <v>40245</v>
      </c>
      <c r="G164" t="s">
        <v>81</v>
      </c>
      <c r="H164" t="s">
        <v>82</v>
      </c>
    </row>
    <row r="165" spans="1:21" x14ac:dyDescent="0.25">
      <c r="A165">
        <v>2010592</v>
      </c>
      <c r="B165" t="s">
        <v>478</v>
      </c>
      <c r="C165" t="str">
        <f>"9780765680785"</f>
        <v>9780765680785</v>
      </c>
      <c r="D165" t="str">
        <f>"9781315704708"</f>
        <v>9781315704708</v>
      </c>
      <c r="E165" s="1">
        <v>39583</v>
      </c>
      <c r="F165" s="1">
        <v>39583</v>
      </c>
      <c r="G165" t="s">
        <v>479</v>
      </c>
      <c r="H165" t="s">
        <v>82</v>
      </c>
    </row>
    <row r="166" spans="1:21" x14ac:dyDescent="0.25">
      <c r="A166">
        <v>7167990</v>
      </c>
      <c r="B166" t="s">
        <v>1231</v>
      </c>
      <c r="C166" t="str">
        <f>"9783455014891"</f>
        <v>9783455014891</v>
      </c>
      <c r="D166" t="str">
        <f>"9783455014907"</f>
        <v>9783455014907</v>
      </c>
      <c r="E166" s="1">
        <v>42552</v>
      </c>
      <c r="F166" s="1">
        <v>44930</v>
      </c>
      <c r="G166" t="s">
        <v>1153</v>
      </c>
      <c r="H166" t="s">
        <v>82</v>
      </c>
    </row>
    <row r="167" spans="1:21" x14ac:dyDescent="0.25">
      <c r="A167">
        <v>1397476</v>
      </c>
      <c r="B167" t="s">
        <v>241</v>
      </c>
      <c r="C167" t="str">
        <f>"9781405899383"</f>
        <v>9781405899383</v>
      </c>
      <c r="D167" t="str">
        <f>"9781317863601"</f>
        <v>9781317863601</v>
      </c>
      <c r="E167" s="1">
        <v>39751</v>
      </c>
      <c r="F167" s="1">
        <v>42334</v>
      </c>
      <c r="G167" t="s">
        <v>242</v>
      </c>
      <c r="H167" t="s">
        <v>243</v>
      </c>
    </row>
    <row r="168" spans="1:21" x14ac:dyDescent="0.25">
      <c r="A168">
        <v>1649074</v>
      </c>
      <c r="B168" t="s">
        <v>315</v>
      </c>
      <c r="C168" t="str">
        <f>"9780710309327"</f>
        <v>9780710309327</v>
      </c>
      <c r="D168" t="str">
        <f>"9781136200632"</f>
        <v>9781136200632</v>
      </c>
      <c r="E168" s="1">
        <v>38744</v>
      </c>
      <c r="F168" s="1">
        <v>42018</v>
      </c>
      <c r="G168" t="s">
        <v>316</v>
      </c>
      <c r="H168" t="s">
        <v>243</v>
      </c>
    </row>
    <row r="169" spans="1:21" x14ac:dyDescent="0.25">
      <c r="A169">
        <v>7211047</v>
      </c>
      <c r="B169" t="s">
        <v>1284</v>
      </c>
      <c r="C169" t="str">
        <f>"9781032422589"</f>
        <v>9781032422589</v>
      </c>
      <c r="D169" t="str">
        <f>"9781000858068"</f>
        <v>9781000858068</v>
      </c>
      <c r="E169" s="1">
        <v>45049</v>
      </c>
      <c r="F169" s="1">
        <v>44994</v>
      </c>
      <c r="G169" t="s">
        <v>1266</v>
      </c>
      <c r="H169" t="s">
        <v>243</v>
      </c>
    </row>
    <row r="170" spans="1:21" x14ac:dyDescent="0.25">
      <c r="A170">
        <v>169426</v>
      </c>
      <c r="B170" t="s">
        <v>28</v>
      </c>
      <c r="C170" t="str">
        <f>"9780415171816"</f>
        <v>9780415171816</v>
      </c>
      <c r="D170" t="str">
        <f>"9780203058251"</f>
        <v>9780203058251</v>
      </c>
      <c r="E170" s="1">
        <v>36556</v>
      </c>
      <c r="F170" s="1">
        <v>38169</v>
      </c>
      <c r="G170" t="s">
        <v>29</v>
      </c>
      <c r="H170" t="s">
        <v>30</v>
      </c>
    </row>
    <row r="171" spans="1:21" x14ac:dyDescent="0.25">
      <c r="A171">
        <v>180182</v>
      </c>
      <c r="B171" t="s">
        <v>34</v>
      </c>
      <c r="C171" t="str">
        <f>"9780415182119"</f>
        <v>9780415182119</v>
      </c>
      <c r="D171" t="str">
        <f>"9780203134634"</f>
        <v>9780203134634</v>
      </c>
      <c r="E171" s="1">
        <v>36629</v>
      </c>
      <c r="F171" s="1">
        <v>38887</v>
      </c>
      <c r="G171" t="s">
        <v>35</v>
      </c>
      <c r="H171" t="s">
        <v>30</v>
      </c>
      <c r="I171" t="s">
        <v>36</v>
      </c>
      <c r="J171" s="2">
        <v>946081</v>
      </c>
      <c r="K171" t="s">
        <v>37</v>
      </c>
      <c r="L171" t="s">
        <v>38</v>
      </c>
      <c r="M171" t="s">
        <v>39</v>
      </c>
      <c r="N171" t="s">
        <v>40</v>
      </c>
      <c r="O171" t="s">
        <v>40</v>
      </c>
      <c r="P171" t="s">
        <v>39</v>
      </c>
      <c r="Q171" t="s">
        <v>39</v>
      </c>
      <c r="R171" t="s">
        <v>40</v>
      </c>
      <c r="S171" t="s">
        <v>39</v>
      </c>
      <c r="T171" t="s">
        <v>40</v>
      </c>
      <c r="U171" t="s">
        <v>41</v>
      </c>
    </row>
    <row r="172" spans="1:21" x14ac:dyDescent="0.25">
      <c r="A172">
        <v>182146</v>
      </c>
      <c r="B172" t="s">
        <v>42</v>
      </c>
      <c r="C172" t="str">
        <f>"9780415343206"</f>
        <v>9780415343206</v>
      </c>
      <c r="D172" t="str">
        <f>"9780203482940"</f>
        <v>9780203482940</v>
      </c>
      <c r="E172" s="1">
        <v>39806</v>
      </c>
      <c r="F172" s="1">
        <v>39792</v>
      </c>
      <c r="G172" t="s">
        <v>43</v>
      </c>
      <c r="H172" t="s">
        <v>30</v>
      </c>
      <c r="I172" t="s">
        <v>44</v>
      </c>
      <c r="J172" t="s">
        <v>45</v>
      </c>
      <c r="K172" t="s">
        <v>46</v>
      </c>
      <c r="L172" t="s">
        <v>38</v>
      </c>
      <c r="M172" t="s">
        <v>39</v>
      </c>
      <c r="N172" t="s">
        <v>40</v>
      </c>
      <c r="O172" t="s">
        <v>40</v>
      </c>
      <c r="P172" t="s">
        <v>39</v>
      </c>
      <c r="Q172" t="s">
        <v>39</v>
      </c>
      <c r="R172" t="s">
        <v>40</v>
      </c>
      <c r="S172" t="s">
        <v>39</v>
      </c>
      <c r="T172" t="s">
        <v>40</v>
      </c>
      <c r="U172" t="s">
        <v>47</v>
      </c>
    </row>
    <row r="173" spans="1:21" x14ac:dyDescent="0.25">
      <c r="A173">
        <v>200025</v>
      </c>
      <c r="B173" t="s">
        <v>52</v>
      </c>
      <c r="C173" t="str">
        <f>"9780415241298"</f>
        <v>9780415241298</v>
      </c>
      <c r="D173" t="str">
        <f>"9780203645062"</f>
        <v>9780203645062</v>
      </c>
      <c r="E173" s="1">
        <v>38394</v>
      </c>
      <c r="F173" s="1">
        <v>38771</v>
      </c>
      <c r="G173" t="s">
        <v>53</v>
      </c>
      <c r="H173" t="s">
        <v>30</v>
      </c>
      <c r="I173" t="s">
        <v>54</v>
      </c>
      <c r="J173" s="2">
        <v>9510603</v>
      </c>
      <c r="K173" t="s">
        <v>55</v>
      </c>
      <c r="L173" t="s">
        <v>38</v>
      </c>
      <c r="M173" t="s">
        <v>39</v>
      </c>
      <c r="N173" t="s">
        <v>40</v>
      </c>
      <c r="O173" t="s">
        <v>40</v>
      </c>
      <c r="P173" t="s">
        <v>39</v>
      </c>
      <c r="Q173" t="s">
        <v>39</v>
      </c>
      <c r="R173" t="s">
        <v>40</v>
      </c>
      <c r="S173" t="s">
        <v>39</v>
      </c>
      <c r="T173" t="s">
        <v>40</v>
      </c>
      <c r="U173" t="s">
        <v>56</v>
      </c>
    </row>
    <row r="174" spans="1:21" x14ac:dyDescent="0.25">
      <c r="A174">
        <v>237438</v>
      </c>
      <c r="B174" t="s">
        <v>57</v>
      </c>
      <c r="C174" t="str">
        <f>"9780416350500"</f>
        <v>9780416350500</v>
      </c>
      <c r="D174" t="str">
        <f>"9780203976333"</f>
        <v>9780203976333</v>
      </c>
      <c r="E174" s="1">
        <v>30456</v>
      </c>
      <c r="F174" s="1">
        <v>38600</v>
      </c>
      <c r="G174" t="s">
        <v>58</v>
      </c>
      <c r="H174" t="s">
        <v>30</v>
      </c>
      <c r="I174">
        <v>83173346</v>
      </c>
      <c r="K174" t="s">
        <v>59</v>
      </c>
      <c r="L174" t="s">
        <v>38</v>
      </c>
      <c r="M174" t="s">
        <v>39</v>
      </c>
      <c r="N174" t="s">
        <v>40</v>
      </c>
      <c r="O174" t="s">
        <v>40</v>
      </c>
      <c r="P174" t="s">
        <v>39</v>
      </c>
      <c r="Q174" t="s">
        <v>39</v>
      </c>
      <c r="R174" t="s">
        <v>40</v>
      </c>
      <c r="S174" t="s">
        <v>39</v>
      </c>
      <c r="T174" t="s">
        <v>40</v>
      </c>
      <c r="U174" t="s">
        <v>60</v>
      </c>
    </row>
    <row r="175" spans="1:21" x14ac:dyDescent="0.25">
      <c r="A175">
        <v>286509</v>
      </c>
      <c r="B175" t="s">
        <v>64</v>
      </c>
      <c r="C175" t="str">
        <f>"9781865087115"</f>
        <v>9781865087115</v>
      </c>
      <c r="D175" t="str">
        <f>"9781000257274"</f>
        <v>9781000257274</v>
      </c>
      <c r="E175" s="1">
        <v>37438</v>
      </c>
      <c r="F175" s="1">
        <v>39153</v>
      </c>
      <c r="G175" t="s">
        <v>65</v>
      </c>
      <c r="H175" t="s">
        <v>30</v>
      </c>
      <c r="I175" t="s">
        <v>66</v>
      </c>
      <c r="J175" t="s">
        <v>67</v>
      </c>
      <c r="K175" t="s">
        <v>68</v>
      </c>
      <c r="L175" t="s">
        <v>38</v>
      </c>
      <c r="M175" t="s">
        <v>39</v>
      </c>
      <c r="N175" t="s">
        <v>40</v>
      </c>
      <c r="O175" t="s">
        <v>40</v>
      </c>
      <c r="P175" t="s">
        <v>39</v>
      </c>
      <c r="Q175" t="s">
        <v>39</v>
      </c>
      <c r="R175" t="s">
        <v>40</v>
      </c>
      <c r="S175" t="s">
        <v>39</v>
      </c>
      <c r="T175" t="s">
        <v>40</v>
      </c>
      <c r="U175" t="s">
        <v>69</v>
      </c>
    </row>
    <row r="176" spans="1:21" x14ac:dyDescent="0.25">
      <c r="A176">
        <v>355929</v>
      </c>
      <c r="B176" t="s">
        <v>72</v>
      </c>
      <c r="C176" t="str">
        <f>"9780415466912"</f>
        <v>9780415466912</v>
      </c>
      <c r="D176" t="str">
        <f>"9780203892664"</f>
        <v>9780203892664</v>
      </c>
      <c r="E176" s="1">
        <v>39703</v>
      </c>
      <c r="F176" s="1">
        <v>39702</v>
      </c>
      <c r="G176" t="s">
        <v>73</v>
      </c>
      <c r="H176" t="s">
        <v>30</v>
      </c>
    </row>
    <row r="177" spans="1:21" x14ac:dyDescent="0.25">
      <c r="A177">
        <v>614669</v>
      </c>
      <c r="B177" t="s">
        <v>101</v>
      </c>
      <c r="C177" t="str">
        <f>"9780415580137"</f>
        <v>9780415580137</v>
      </c>
      <c r="D177" t="str">
        <f>"9780203850176"</f>
        <v>9780203850176</v>
      </c>
      <c r="E177" s="1">
        <v>40275</v>
      </c>
      <c r="F177" s="1">
        <v>40578</v>
      </c>
      <c r="G177" t="s">
        <v>102</v>
      </c>
      <c r="H177" t="s">
        <v>30</v>
      </c>
    </row>
    <row r="178" spans="1:21" x14ac:dyDescent="0.25">
      <c r="A178">
        <v>668275</v>
      </c>
      <c r="B178" t="s">
        <v>105</v>
      </c>
      <c r="C178" t="str">
        <f>"9780415440103"</f>
        <v>9780415440103</v>
      </c>
      <c r="D178" t="str">
        <f>"9780203817254"</f>
        <v>9780203817254</v>
      </c>
      <c r="E178" s="1">
        <v>40224</v>
      </c>
      <c r="F178" s="1">
        <v>40611</v>
      </c>
      <c r="G178" t="s">
        <v>106</v>
      </c>
      <c r="H178" t="s">
        <v>30</v>
      </c>
      <c r="I178" t="s">
        <v>107</v>
      </c>
      <c r="J178" t="s">
        <v>108</v>
      </c>
      <c r="K178" t="s">
        <v>109</v>
      </c>
      <c r="L178" t="s">
        <v>38</v>
      </c>
      <c r="M178" t="s">
        <v>39</v>
      </c>
      <c r="N178" t="s">
        <v>40</v>
      </c>
      <c r="O178" t="s">
        <v>40</v>
      </c>
      <c r="P178" t="s">
        <v>39</v>
      </c>
      <c r="Q178" t="s">
        <v>39</v>
      </c>
      <c r="R178" t="s">
        <v>40</v>
      </c>
      <c r="S178" t="s">
        <v>39</v>
      </c>
      <c r="T178" t="s">
        <v>40</v>
      </c>
      <c r="U178" t="s">
        <v>110</v>
      </c>
    </row>
    <row r="179" spans="1:21" x14ac:dyDescent="0.25">
      <c r="A179">
        <v>684014</v>
      </c>
      <c r="B179" t="s">
        <v>113</v>
      </c>
      <c r="C179" t="str">
        <f>"9780415610094"</f>
        <v>9780415610094</v>
      </c>
      <c r="D179" t="str">
        <f>"9780203828304"</f>
        <v>9780203828304</v>
      </c>
      <c r="E179" s="1">
        <v>40680</v>
      </c>
      <c r="F179" s="1">
        <v>40696</v>
      </c>
      <c r="G179" t="s">
        <v>114</v>
      </c>
      <c r="H179" t="s">
        <v>30</v>
      </c>
      <c r="I179" t="s">
        <v>115</v>
      </c>
      <c r="J179" s="2">
        <v>940270924</v>
      </c>
      <c r="K179" t="s">
        <v>116</v>
      </c>
      <c r="L179" t="s">
        <v>38</v>
      </c>
      <c r="M179" t="s">
        <v>39</v>
      </c>
      <c r="N179" t="s">
        <v>40</v>
      </c>
      <c r="O179" t="s">
        <v>40</v>
      </c>
      <c r="P179" t="s">
        <v>39</v>
      </c>
      <c r="Q179" t="s">
        <v>39</v>
      </c>
      <c r="R179" t="s">
        <v>40</v>
      </c>
      <c r="S179" t="s">
        <v>39</v>
      </c>
      <c r="T179" t="s">
        <v>40</v>
      </c>
      <c r="U179" t="s">
        <v>117</v>
      </c>
    </row>
    <row r="180" spans="1:21" x14ac:dyDescent="0.25">
      <c r="A180">
        <v>957083</v>
      </c>
      <c r="B180" t="s">
        <v>120</v>
      </c>
      <c r="C180" t="str">
        <f>"9780415691024"</f>
        <v>9780415691024</v>
      </c>
      <c r="D180" t="str">
        <f>"9780203123133"</f>
        <v>9780203123133</v>
      </c>
      <c r="E180" s="1">
        <v>40983</v>
      </c>
      <c r="F180" s="1">
        <v>41095</v>
      </c>
      <c r="G180" t="s">
        <v>121</v>
      </c>
      <c r="H180" t="s">
        <v>30</v>
      </c>
    </row>
    <row r="181" spans="1:21" x14ac:dyDescent="0.25">
      <c r="A181">
        <v>1024580</v>
      </c>
      <c r="B181" t="s">
        <v>136</v>
      </c>
      <c r="C181" t="str">
        <f>"9780415522274"</f>
        <v>9780415522274</v>
      </c>
      <c r="D181" t="str">
        <f>"9781136246364"</f>
        <v>9781136246364</v>
      </c>
      <c r="E181" s="1">
        <v>41197</v>
      </c>
      <c r="F181" s="1">
        <v>41171</v>
      </c>
      <c r="G181" t="s">
        <v>137</v>
      </c>
      <c r="H181" t="s">
        <v>30</v>
      </c>
      <c r="I181" t="s">
        <v>138</v>
      </c>
      <c r="J181" t="s">
        <v>139</v>
      </c>
      <c r="K181" t="s">
        <v>140</v>
      </c>
      <c r="L181" t="s">
        <v>38</v>
      </c>
      <c r="M181" t="s">
        <v>39</v>
      </c>
      <c r="N181" t="s">
        <v>40</v>
      </c>
      <c r="O181" t="s">
        <v>40</v>
      </c>
      <c r="P181" t="s">
        <v>39</v>
      </c>
      <c r="Q181" t="s">
        <v>39</v>
      </c>
      <c r="R181" t="s">
        <v>40</v>
      </c>
      <c r="S181" t="s">
        <v>39</v>
      </c>
      <c r="T181" t="s">
        <v>40</v>
      </c>
      <c r="U181" t="s">
        <v>141</v>
      </c>
    </row>
    <row r="182" spans="1:21" x14ac:dyDescent="0.25">
      <c r="A182">
        <v>1074769</v>
      </c>
      <c r="B182" t="s">
        <v>150</v>
      </c>
      <c r="C182" t="str">
        <f>"9780789015495"</f>
        <v>9780789015495</v>
      </c>
      <c r="D182" t="str">
        <f>"9781136400001"</f>
        <v>9781136400001</v>
      </c>
      <c r="E182" s="1">
        <v>37267</v>
      </c>
      <c r="F182" s="1">
        <v>41233</v>
      </c>
      <c r="G182" t="s">
        <v>151</v>
      </c>
      <c r="H182" t="s">
        <v>30</v>
      </c>
      <c r="I182" t="s">
        <v>152</v>
      </c>
    </row>
    <row r="183" spans="1:21" x14ac:dyDescent="0.25">
      <c r="A183">
        <v>1075245</v>
      </c>
      <c r="B183" t="s">
        <v>153</v>
      </c>
      <c r="C183" t="str">
        <f>"9789057005718"</f>
        <v>9789057005718</v>
      </c>
      <c r="D183" t="str">
        <f>"9781136648373"</f>
        <v>9781136648373</v>
      </c>
      <c r="E183" s="1">
        <v>36861</v>
      </c>
      <c r="F183" s="1">
        <v>41233</v>
      </c>
      <c r="G183" t="s">
        <v>154</v>
      </c>
      <c r="H183" t="s">
        <v>30</v>
      </c>
    </row>
    <row r="184" spans="1:21" x14ac:dyDescent="0.25">
      <c r="A184">
        <v>1144443</v>
      </c>
      <c r="B184" t="s">
        <v>166</v>
      </c>
      <c r="C184" t="str">
        <f>"9780415440936"</f>
        <v>9780415440936</v>
      </c>
      <c r="D184" t="str">
        <f>"9781135030186"</f>
        <v>9781135030186</v>
      </c>
      <c r="E184" s="1">
        <v>39415</v>
      </c>
      <c r="F184" s="1">
        <v>41348</v>
      </c>
      <c r="G184" t="s">
        <v>167</v>
      </c>
      <c r="H184" t="s">
        <v>30</v>
      </c>
      <c r="I184" t="s">
        <v>168</v>
      </c>
      <c r="J184">
        <v>940</v>
      </c>
      <c r="K184" t="s">
        <v>169</v>
      </c>
    </row>
    <row r="185" spans="1:21" x14ac:dyDescent="0.25">
      <c r="A185">
        <v>1144600</v>
      </c>
      <c r="B185" t="s">
        <v>170</v>
      </c>
      <c r="C185" t="str">
        <f>"9780415390958"</f>
        <v>9780415390958</v>
      </c>
      <c r="D185" t="str">
        <f>"9781134704347"</f>
        <v>9781134704347</v>
      </c>
      <c r="E185" s="1">
        <v>39021</v>
      </c>
      <c r="F185" s="1">
        <v>41348</v>
      </c>
      <c r="G185" t="s">
        <v>171</v>
      </c>
      <c r="H185" t="s">
        <v>30</v>
      </c>
      <c r="I185" t="s">
        <v>172</v>
      </c>
      <c r="J185" s="2">
        <v>940545941</v>
      </c>
      <c r="K185" t="s">
        <v>173</v>
      </c>
      <c r="L185" t="s">
        <v>38</v>
      </c>
      <c r="M185" t="s">
        <v>39</v>
      </c>
      <c r="N185" t="s">
        <v>40</v>
      </c>
      <c r="O185" t="s">
        <v>40</v>
      </c>
      <c r="P185" t="s">
        <v>39</v>
      </c>
      <c r="Q185" t="s">
        <v>39</v>
      </c>
      <c r="R185" t="s">
        <v>40</v>
      </c>
      <c r="S185" t="s">
        <v>39</v>
      </c>
      <c r="T185" t="s">
        <v>40</v>
      </c>
      <c r="U185" t="s">
        <v>174</v>
      </c>
    </row>
    <row r="186" spans="1:21" x14ac:dyDescent="0.25">
      <c r="A186">
        <v>1144680</v>
      </c>
      <c r="B186" t="s">
        <v>175</v>
      </c>
      <c r="C186" t="str">
        <f>"9781579582692"</f>
        <v>9781579582692</v>
      </c>
      <c r="D186" t="str">
        <f>"9781136597541"</f>
        <v>9781136597541</v>
      </c>
      <c r="E186" s="1">
        <v>36557</v>
      </c>
      <c r="F186" s="1">
        <v>41348</v>
      </c>
      <c r="G186" t="s">
        <v>176</v>
      </c>
      <c r="H186" t="s">
        <v>30</v>
      </c>
      <c r="I186" t="s">
        <v>177</v>
      </c>
      <c r="J186" s="2">
        <v>942055003</v>
      </c>
      <c r="K186" t="s">
        <v>178</v>
      </c>
      <c r="L186" t="s">
        <v>38</v>
      </c>
      <c r="M186" t="s">
        <v>39</v>
      </c>
      <c r="N186" t="s">
        <v>40</v>
      </c>
      <c r="O186" t="s">
        <v>40</v>
      </c>
      <c r="P186" t="s">
        <v>39</v>
      </c>
      <c r="Q186" t="s">
        <v>39</v>
      </c>
      <c r="R186" t="s">
        <v>40</v>
      </c>
      <c r="S186" t="s">
        <v>39</v>
      </c>
      <c r="T186" t="s">
        <v>40</v>
      </c>
      <c r="U186" t="s">
        <v>179</v>
      </c>
    </row>
    <row r="187" spans="1:21" x14ac:dyDescent="0.25">
      <c r="A187">
        <v>1181092</v>
      </c>
      <c r="B187" t="s">
        <v>180</v>
      </c>
      <c r="C187" t="str">
        <f>"9780415964968"</f>
        <v>9780415964968</v>
      </c>
      <c r="D187" t="str">
        <f>"9781136757440"</f>
        <v>9781136757440</v>
      </c>
      <c r="E187" s="1">
        <v>40897</v>
      </c>
      <c r="F187" s="1">
        <v>41418</v>
      </c>
      <c r="G187" t="s">
        <v>181</v>
      </c>
      <c r="H187" t="s">
        <v>30</v>
      </c>
      <c r="I187" t="s">
        <v>182</v>
      </c>
      <c r="J187" t="s">
        <v>183</v>
      </c>
      <c r="K187" t="s">
        <v>184</v>
      </c>
      <c r="L187" t="s">
        <v>38</v>
      </c>
      <c r="M187" t="s">
        <v>39</v>
      </c>
      <c r="N187" t="s">
        <v>40</v>
      </c>
      <c r="O187" t="s">
        <v>40</v>
      </c>
      <c r="P187" t="s">
        <v>39</v>
      </c>
      <c r="Q187" t="s">
        <v>39</v>
      </c>
      <c r="R187" t="s">
        <v>40</v>
      </c>
      <c r="S187" t="s">
        <v>39</v>
      </c>
      <c r="T187" t="s">
        <v>40</v>
      </c>
      <c r="U187" t="s">
        <v>185</v>
      </c>
    </row>
    <row r="188" spans="1:21" x14ac:dyDescent="0.25">
      <c r="A188">
        <v>1244965</v>
      </c>
      <c r="B188" t="s">
        <v>189</v>
      </c>
      <c r="C188" t="str">
        <f>"9780415656979"</f>
        <v>9780415656979</v>
      </c>
      <c r="D188" t="str">
        <f>"9781135124960"</f>
        <v>9781135124960</v>
      </c>
      <c r="E188" s="1">
        <v>41451</v>
      </c>
      <c r="F188" s="1">
        <v>41461</v>
      </c>
      <c r="G188" t="s">
        <v>190</v>
      </c>
      <c r="H188" t="s">
        <v>30</v>
      </c>
      <c r="I188" t="s">
        <v>191</v>
      </c>
      <c r="J188" t="s">
        <v>192</v>
      </c>
      <c r="K188" t="s">
        <v>193</v>
      </c>
    </row>
    <row r="189" spans="1:21" x14ac:dyDescent="0.25">
      <c r="A189">
        <v>1319042</v>
      </c>
      <c r="B189" t="s">
        <v>194</v>
      </c>
      <c r="C189" t="str">
        <f>"9780415471725"</f>
        <v>9780415471725</v>
      </c>
      <c r="D189" t="str">
        <f>"9781134449491"</f>
        <v>9781134449491</v>
      </c>
      <c r="E189" s="1">
        <v>41508</v>
      </c>
      <c r="F189" s="1">
        <v>41481</v>
      </c>
      <c r="G189" t="s">
        <v>195</v>
      </c>
      <c r="H189" t="s">
        <v>30</v>
      </c>
      <c r="I189" t="s">
        <v>196</v>
      </c>
      <c r="J189" s="2">
        <v>946082</v>
      </c>
      <c r="K189" t="s">
        <v>197</v>
      </c>
      <c r="L189" t="s">
        <v>38</v>
      </c>
      <c r="M189" t="s">
        <v>39</v>
      </c>
      <c r="N189" t="s">
        <v>40</v>
      </c>
      <c r="O189" t="s">
        <v>40</v>
      </c>
      <c r="P189" t="s">
        <v>39</v>
      </c>
      <c r="Q189" t="s">
        <v>39</v>
      </c>
      <c r="R189" t="s">
        <v>40</v>
      </c>
      <c r="S189" t="s">
        <v>39</v>
      </c>
      <c r="T189" t="s">
        <v>40</v>
      </c>
      <c r="U189" t="s">
        <v>198</v>
      </c>
    </row>
    <row r="190" spans="1:21" x14ac:dyDescent="0.25">
      <c r="A190">
        <v>1353496</v>
      </c>
      <c r="B190" t="s">
        <v>201</v>
      </c>
      <c r="C190" t="str">
        <f>"9780582784628"</f>
        <v>9780582784628</v>
      </c>
      <c r="D190" t="str">
        <f>"9781317867890"</f>
        <v>9781317867890</v>
      </c>
      <c r="E190" s="1">
        <v>38692</v>
      </c>
      <c r="F190" s="1">
        <v>42334</v>
      </c>
      <c r="G190" t="s">
        <v>202</v>
      </c>
      <c r="H190" t="s">
        <v>30</v>
      </c>
      <c r="I190" t="s">
        <v>203</v>
      </c>
      <c r="J190" t="s">
        <v>204</v>
      </c>
      <c r="K190" t="s">
        <v>205</v>
      </c>
      <c r="L190" t="s">
        <v>38</v>
      </c>
      <c r="M190" t="s">
        <v>39</v>
      </c>
      <c r="N190" t="s">
        <v>40</v>
      </c>
      <c r="O190" t="s">
        <v>40</v>
      </c>
      <c r="P190" t="s">
        <v>39</v>
      </c>
      <c r="Q190" t="s">
        <v>39</v>
      </c>
      <c r="R190" t="s">
        <v>40</v>
      </c>
      <c r="S190" t="s">
        <v>39</v>
      </c>
      <c r="T190" t="s">
        <v>40</v>
      </c>
      <c r="U190" t="s">
        <v>206</v>
      </c>
    </row>
    <row r="191" spans="1:21" x14ac:dyDescent="0.25">
      <c r="A191">
        <v>1356084</v>
      </c>
      <c r="B191" t="s">
        <v>207</v>
      </c>
      <c r="C191" t="str">
        <f>"9780710310033"</f>
        <v>9780710310033</v>
      </c>
      <c r="D191" t="str">
        <f>"9781136206870"</f>
        <v>9781136206870</v>
      </c>
      <c r="E191" s="1">
        <v>39696</v>
      </c>
      <c r="F191" s="1">
        <v>41600</v>
      </c>
      <c r="G191" t="s">
        <v>208</v>
      </c>
      <c r="H191" t="s">
        <v>30</v>
      </c>
      <c r="I191" t="s">
        <v>209</v>
      </c>
      <c r="J191">
        <v>932</v>
      </c>
      <c r="K191" t="s">
        <v>210</v>
      </c>
    </row>
    <row r="192" spans="1:21" x14ac:dyDescent="0.25">
      <c r="A192">
        <v>1356128</v>
      </c>
      <c r="B192" t="s">
        <v>211</v>
      </c>
      <c r="C192" t="str">
        <f>"9780710309860"</f>
        <v>9780710309860</v>
      </c>
      <c r="D192" t="str">
        <f>"9781136206047"</f>
        <v>9781136206047</v>
      </c>
      <c r="E192" s="1">
        <v>38499</v>
      </c>
      <c r="F192" s="1">
        <v>41600</v>
      </c>
      <c r="G192" t="s">
        <v>212</v>
      </c>
      <c r="H192" t="s">
        <v>30</v>
      </c>
      <c r="I192" t="s">
        <v>213</v>
      </c>
      <c r="J192" t="s">
        <v>214</v>
      </c>
      <c r="K192" t="s">
        <v>215</v>
      </c>
      <c r="L192" t="s">
        <v>38</v>
      </c>
      <c r="M192" t="s">
        <v>39</v>
      </c>
      <c r="N192" t="s">
        <v>40</v>
      </c>
      <c r="O192" t="s">
        <v>40</v>
      </c>
      <c r="P192" t="s">
        <v>39</v>
      </c>
      <c r="Q192" t="s">
        <v>39</v>
      </c>
      <c r="R192" t="s">
        <v>40</v>
      </c>
      <c r="S192" t="s">
        <v>39</v>
      </c>
      <c r="T192" t="s">
        <v>40</v>
      </c>
      <c r="U192" t="s">
        <v>216</v>
      </c>
    </row>
    <row r="193" spans="1:21" x14ac:dyDescent="0.25">
      <c r="A193">
        <v>1356348</v>
      </c>
      <c r="B193" t="s">
        <v>219</v>
      </c>
      <c r="C193" t="str">
        <f>"9780582772779"</f>
        <v>9780582772779</v>
      </c>
      <c r="D193" t="str">
        <f>"9781317868439"</f>
        <v>9781317868439</v>
      </c>
      <c r="E193" s="1">
        <v>39611</v>
      </c>
      <c r="F193" s="1">
        <v>42334</v>
      </c>
      <c r="G193" t="s">
        <v>220</v>
      </c>
      <c r="H193" t="s">
        <v>30</v>
      </c>
      <c r="I193" t="s">
        <v>221</v>
      </c>
      <c r="J193" t="s">
        <v>222</v>
      </c>
      <c r="K193" t="s">
        <v>223</v>
      </c>
      <c r="L193" t="s">
        <v>38</v>
      </c>
      <c r="M193" t="s">
        <v>39</v>
      </c>
      <c r="N193" t="s">
        <v>40</v>
      </c>
      <c r="O193" t="s">
        <v>40</v>
      </c>
      <c r="P193" t="s">
        <v>39</v>
      </c>
      <c r="Q193" t="s">
        <v>39</v>
      </c>
      <c r="R193" t="s">
        <v>40</v>
      </c>
      <c r="S193" t="s">
        <v>39</v>
      </c>
      <c r="T193" t="s">
        <v>40</v>
      </c>
      <c r="U193" t="s">
        <v>224</v>
      </c>
    </row>
    <row r="194" spans="1:21" x14ac:dyDescent="0.25">
      <c r="A194">
        <v>1357587</v>
      </c>
      <c r="B194" t="s">
        <v>225</v>
      </c>
      <c r="C194" t="str">
        <f>"9780415643092"</f>
        <v>9780415643092</v>
      </c>
      <c r="D194" t="str">
        <f>"9781136161322"</f>
        <v>9781136161322</v>
      </c>
      <c r="E194" s="1">
        <v>41512</v>
      </c>
      <c r="F194" s="1">
        <v>42334</v>
      </c>
      <c r="G194" t="s">
        <v>226</v>
      </c>
      <c r="H194" t="s">
        <v>30</v>
      </c>
      <c r="I194" t="s">
        <v>227</v>
      </c>
      <c r="J194" t="s">
        <v>228</v>
      </c>
      <c r="K194" t="s">
        <v>229</v>
      </c>
      <c r="L194" t="s">
        <v>38</v>
      </c>
      <c r="M194" t="s">
        <v>39</v>
      </c>
      <c r="N194" t="s">
        <v>40</v>
      </c>
      <c r="O194" t="s">
        <v>40</v>
      </c>
      <c r="P194" t="s">
        <v>39</v>
      </c>
      <c r="Q194" t="s">
        <v>39</v>
      </c>
      <c r="R194" t="s">
        <v>40</v>
      </c>
      <c r="S194" t="s">
        <v>39</v>
      </c>
      <c r="T194" t="s">
        <v>40</v>
      </c>
      <c r="U194" t="s">
        <v>230</v>
      </c>
    </row>
    <row r="195" spans="1:21" x14ac:dyDescent="0.25">
      <c r="A195">
        <v>1395306</v>
      </c>
      <c r="B195" t="s">
        <v>231</v>
      </c>
      <c r="C195" t="str">
        <f>"9780415361484"</f>
        <v>9780415361484</v>
      </c>
      <c r="D195" t="str">
        <f>"9781136570216"</f>
        <v>9781136570216</v>
      </c>
      <c r="E195" s="1">
        <v>39461</v>
      </c>
      <c r="F195" s="1">
        <v>41600</v>
      </c>
      <c r="G195" t="s">
        <v>232</v>
      </c>
      <c r="H195" t="s">
        <v>30</v>
      </c>
      <c r="I195" t="s">
        <v>233</v>
      </c>
      <c r="J195">
        <v>951</v>
      </c>
      <c r="K195" t="s">
        <v>234</v>
      </c>
      <c r="L195" t="s">
        <v>38</v>
      </c>
      <c r="M195" t="s">
        <v>39</v>
      </c>
      <c r="N195" t="s">
        <v>40</v>
      </c>
      <c r="O195" t="s">
        <v>40</v>
      </c>
      <c r="P195" t="s">
        <v>39</v>
      </c>
      <c r="Q195" t="s">
        <v>39</v>
      </c>
      <c r="R195" t="s">
        <v>40</v>
      </c>
      <c r="S195" t="s">
        <v>39</v>
      </c>
      <c r="T195" t="s">
        <v>40</v>
      </c>
      <c r="U195" t="s">
        <v>235</v>
      </c>
    </row>
    <row r="196" spans="1:21" x14ac:dyDescent="0.25">
      <c r="A196">
        <v>1397120</v>
      </c>
      <c r="B196" t="s">
        <v>236</v>
      </c>
      <c r="C196" t="str">
        <f>"9780415473231"</f>
        <v>9780415473231</v>
      </c>
      <c r="D196" t="str">
        <f>"9781134721023"</f>
        <v>9781134721023</v>
      </c>
      <c r="E196" s="1">
        <v>40025</v>
      </c>
      <c r="F196" s="1">
        <v>42334</v>
      </c>
      <c r="G196" t="s">
        <v>237</v>
      </c>
      <c r="H196" t="s">
        <v>30</v>
      </c>
      <c r="I196" t="s">
        <v>238</v>
      </c>
      <c r="J196" s="2">
        <v>943085</v>
      </c>
      <c r="K196" t="s">
        <v>239</v>
      </c>
      <c r="L196" t="s">
        <v>38</v>
      </c>
      <c r="M196" t="s">
        <v>39</v>
      </c>
      <c r="N196" t="s">
        <v>40</v>
      </c>
      <c r="O196" t="s">
        <v>40</v>
      </c>
      <c r="P196" t="s">
        <v>39</v>
      </c>
      <c r="Q196" t="s">
        <v>39</v>
      </c>
      <c r="R196" t="s">
        <v>40</v>
      </c>
      <c r="S196" t="s">
        <v>39</v>
      </c>
      <c r="T196" t="s">
        <v>40</v>
      </c>
      <c r="U196" t="s">
        <v>240</v>
      </c>
    </row>
    <row r="197" spans="1:21" x14ac:dyDescent="0.25">
      <c r="A197">
        <v>1397500</v>
      </c>
      <c r="B197" t="s">
        <v>244</v>
      </c>
      <c r="C197" t="str">
        <f>"9781405835565"</f>
        <v>9781405835565</v>
      </c>
      <c r="D197" t="str">
        <f>"9781317865490"</f>
        <v>9781317865490</v>
      </c>
      <c r="E197" s="1">
        <v>39785</v>
      </c>
      <c r="F197" s="1">
        <v>41682</v>
      </c>
      <c r="G197" t="s">
        <v>245</v>
      </c>
      <c r="H197" t="s">
        <v>30</v>
      </c>
    </row>
    <row r="198" spans="1:21" x14ac:dyDescent="0.25">
      <c r="A198">
        <v>1480714</v>
      </c>
      <c r="B198" t="s">
        <v>255</v>
      </c>
      <c r="C198" t="str">
        <f>"9780415814355"</f>
        <v>9780415814355</v>
      </c>
      <c r="D198" t="str">
        <f>"9781135077723"</f>
        <v>9781135077723</v>
      </c>
      <c r="E198" s="1">
        <v>41562</v>
      </c>
      <c r="F198" s="1">
        <v>41564</v>
      </c>
      <c r="G198" t="s">
        <v>256</v>
      </c>
      <c r="H198" t="s">
        <v>30</v>
      </c>
      <c r="I198" t="s">
        <v>257</v>
      </c>
      <c r="J198" t="s">
        <v>258</v>
      </c>
      <c r="K198" t="s">
        <v>259</v>
      </c>
      <c r="L198" t="s">
        <v>38</v>
      </c>
      <c r="M198" t="s">
        <v>39</v>
      </c>
      <c r="N198" t="s">
        <v>40</v>
      </c>
      <c r="O198" t="s">
        <v>40</v>
      </c>
      <c r="P198" t="s">
        <v>39</v>
      </c>
      <c r="Q198" t="s">
        <v>39</v>
      </c>
      <c r="R198" t="s">
        <v>40</v>
      </c>
      <c r="S198" t="s">
        <v>39</v>
      </c>
      <c r="T198" t="s">
        <v>40</v>
      </c>
      <c r="U198" t="s">
        <v>260</v>
      </c>
    </row>
    <row r="199" spans="1:21" x14ac:dyDescent="0.25">
      <c r="A199">
        <v>1524181</v>
      </c>
      <c r="B199" t="s">
        <v>261</v>
      </c>
      <c r="C199" t="str">
        <f>"9780415528856"</f>
        <v>9780415528856</v>
      </c>
      <c r="D199" t="str">
        <f>"9781134713257"</f>
        <v>9781134713257</v>
      </c>
      <c r="E199" s="1">
        <v>41577</v>
      </c>
      <c r="F199" s="1">
        <v>41579</v>
      </c>
      <c r="G199" t="s">
        <v>262</v>
      </c>
      <c r="H199" t="s">
        <v>30</v>
      </c>
      <c r="I199" t="s">
        <v>263</v>
      </c>
      <c r="J199" s="2">
        <v>973922092</v>
      </c>
      <c r="K199" t="s">
        <v>264</v>
      </c>
    </row>
    <row r="200" spans="1:21" x14ac:dyDescent="0.25">
      <c r="A200">
        <v>1562532</v>
      </c>
      <c r="B200" t="s">
        <v>274</v>
      </c>
      <c r="C200" t="str">
        <f>"9780582319738"</f>
        <v>9780582319738</v>
      </c>
      <c r="D200" t="str">
        <f>"9781317882411"</f>
        <v>9781317882411</v>
      </c>
      <c r="E200" s="1">
        <v>36991</v>
      </c>
      <c r="F200" s="1">
        <v>41598</v>
      </c>
      <c r="G200" t="s">
        <v>275</v>
      </c>
      <c r="H200" t="s">
        <v>30</v>
      </c>
      <c r="I200" t="s">
        <v>276</v>
      </c>
      <c r="J200" t="s">
        <v>277</v>
      </c>
      <c r="K200" t="s">
        <v>278</v>
      </c>
      <c r="L200" t="s">
        <v>38</v>
      </c>
      <c r="M200" t="s">
        <v>39</v>
      </c>
      <c r="N200" t="s">
        <v>40</v>
      </c>
      <c r="O200" t="s">
        <v>40</v>
      </c>
      <c r="P200" t="s">
        <v>39</v>
      </c>
      <c r="Q200" t="s">
        <v>39</v>
      </c>
      <c r="R200" t="s">
        <v>40</v>
      </c>
      <c r="S200" t="s">
        <v>39</v>
      </c>
      <c r="T200" t="s">
        <v>40</v>
      </c>
      <c r="U200" t="s">
        <v>279</v>
      </c>
    </row>
    <row r="201" spans="1:21" x14ac:dyDescent="0.25">
      <c r="A201">
        <v>1569847</v>
      </c>
      <c r="B201" t="s">
        <v>280</v>
      </c>
      <c r="C201" t="str">
        <f>"9781408249635"</f>
        <v>9781408249635</v>
      </c>
      <c r="D201" t="str">
        <f>"9781317861447"</f>
        <v>9781317861447</v>
      </c>
      <c r="E201" s="1">
        <v>41176</v>
      </c>
      <c r="F201" s="1">
        <v>42334</v>
      </c>
      <c r="G201" t="s">
        <v>281</v>
      </c>
      <c r="H201" t="s">
        <v>30</v>
      </c>
      <c r="I201" t="s">
        <v>282</v>
      </c>
      <c r="J201" t="s">
        <v>283</v>
      </c>
      <c r="K201" t="s">
        <v>284</v>
      </c>
      <c r="L201" t="s">
        <v>38</v>
      </c>
      <c r="M201" t="s">
        <v>39</v>
      </c>
      <c r="N201" t="s">
        <v>40</v>
      </c>
      <c r="O201" t="s">
        <v>40</v>
      </c>
      <c r="P201" t="s">
        <v>39</v>
      </c>
      <c r="Q201" t="s">
        <v>39</v>
      </c>
      <c r="R201" t="s">
        <v>40</v>
      </c>
      <c r="S201" t="s">
        <v>39</v>
      </c>
      <c r="T201" t="s">
        <v>40</v>
      </c>
      <c r="U201" t="s">
        <v>285</v>
      </c>
    </row>
    <row r="202" spans="1:21" x14ac:dyDescent="0.25">
      <c r="A202">
        <v>1569858</v>
      </c>
      <c r="B202" t="s">
        <v>288</v>
      </c>
      <c r="C202" t="str">
        <f>"9781579581589"</f>
        <v>9781579581589</v>
      </c>
      <c r="D202" t="str">
        <f>"9781135946265"</f>
        <v>9781135946265</v>
      </c>
      <c r="E202" s="1">
        <v>36279</v>
      </c>
      <c r="F202" s="1">
        <v>41607</v>
      </c>
      <c r="G202" t="s">
        <v>289</v>
      </c>
      <c r="H202" t="s">
        <v>30</v>
      </c>
      <c r="I202" t="s">
        <v>290</v>
      </c>
      <c r="J202" t="s">
        <v>291</v>
      </c>
      <c r="K202" t="s">
        <v>292</v>
      </c>
      <c r="L202" t="s">
        <v>38</v>
      </c>
      <c r="M202" t="s">
        <v>39</v>
      </c>
      <c r="N202" t="s">
        <v>40</v>
      </c>
      <c r="O202" t="s">
        <v>40</v>
      </c>
      <c r="P202" t="s">
        <v>39</v>
      </c>
      <c r="Q202" t="s">
        <v>39</v>
      </c>
      <c r="R202" t="s">
        <v>40</v>
      </c>
      <c r="S202" t="s">
        <v>39</v>
      </c>
      <c r="T202" t="s">
        <v>40</v>
      </c>
      <c r="U202" t="s">
        <v>293</v>
      </c>
    </row>
    <row r="203" spans="1:21" x14ac:dyDescent="0.25">
      <c r="A203">
        <v>1581593</v>
      </c>
      <c r="B203" t="s">
        <v>294</v>
      </c>
      <c r="C203" t="str">
        <f>"9780582215320"</f>
        <v>9780582215320</v>
      </c>
      <c r="D203" t="str">
        <f>"9781317893660"</f>
        <v>9781317893660</v>
      </c>
      <c r="E203" s="1">
        <v>35711</v>
      </c>
      <c r="F203" s="1">
        <v>41625</v>
      </c>
      <c r="G203" t="s">
        <v>295</v>
      </c>
      <c r="H203" t="s">
        <v>30</v>
      </c>
    </row>
    <row r="204" spans="1:21" x14ac:dyDescent="0.25">
      <c r="A204">
        <v>1603885</v>
      </c>
      <c r="B204" t="s">
        <v>303</v>
      </c>
      <c r="C204" t="str">
        <f>"9781579583095"</f>
        <v>9781579583095</v>
      </c>
      <c r="D204" t="str">
        <f>"9781135969783"</f>
        <v>9781135969783</v>
      </c>
      <c r="E204" s="1">
        <v>36951</v>
      </c>
      <c r="F204" s="1">
        <v>41666</v>
      </c>
      <c r="G204" t="s">
        <v>304</v>
      </c>
      <c r="H204" t="s">
        <v>30</v>
      </c>
      <c r="I204" t="s">
        <v>305</v>
      </c>
      <c r="J204" t="s">
        <v>306</v>
      </c>
      <c r="K204" t="s">
        <v>307</v>
      </c>
      <c r="L204" t="s">
        <v>38</v>
      </c>
      <c r="M204" t="s">
        <v>39</v>
      </c>
      <c r="N204" t="s">
        <v>40</v>
      </c>
      <c r="O204" t="s">
        <v>40</v>
      </c>
      <c r="P204" t="s">
        <v>39</v>
      </c>
      <c r="Q204" t="s">
        <v>39</v>
      </c>
      <c r="R204" t="s">
        <v>40</v>
      </c>
      <c r="S204" t="s">
        <v>39</v>
      </c>
      <c r="T204" t="s">
        <v>40</v>
      </c>
      <c r="U204" t="s">
        <v>308</v>
      </c>
    </row>
    <row r="205" spans="1:21" x14ac:dyDescent="0.25">
      <c r="A205">
        <v>1619154</v>
      </c>
      <c r="B205" t="s">
        <v>309</v>
      </c>
      <c r="C205" t="str">
        <f>"9780582022447"</f>
        <v>9780582022447</v>
      </c>
      <c r="D205" t="str">
        <f>"9781317901259"</f>
        <v>9781317901259</v>
      </c>
      <c r="E205" s="1">
        <v>33924</v>
      </c>
      <c r="F205" s="1">
        <v>41675</v>
      </c>
      <c r="G205" t="s">
        <v>310</v>
      </c>
      <c r="H205" t="s">
        <v>30</v>
      </c>
      <c r="I205" t="s">
        <v>311</v>
      </c>
      <c r="J205" t="s">
        <v>312</v>
      </c>
      <c r="K205" t="s">
        <v>313</v>
      </c>
      <c r="L205" t="s">
        <v>38</v>
      </c>
      <c r="M205" t="s">
        <v>39</v>
      </c>
      <c r="N205" t="s">
        <v>40</v>
      </c>
      <c r="O205" t="s">
        <v>40</v>
      </c>
      <c r="P205" t="s">
        <v>39</v>
      </c>
      <c r="Q205" t="s">
        <v>39</v>
      </c>
      <c r="R205" t="s">
        <v>40</v>
      </c>
      <c r="S205" t="s">
        <v>39</v>
      </c>
      <c r="T205" t="s">
        <v>40</v>
      </c>
      <c r="U205" t="s">
        <v>314</v>
      </c>
    </row>
    <row r="206" spans="1:21" x14ac:dyDescent="0.25">
      <c r="A206">
        <v>1666999</v>
      </c>
      <c r="B206" t="s">
        <v>317</v>
      </c>
      <c r="C206" t="str">
        <f>"9781138777729"</f>
        <v>9781138777729</v>
      </c>
      <c r="D206" t="str">
        <f>"9781317678380"</f>
        <v>9781317678380</v>
      </c>
      <c r="E206" s="1">
        <v>41662</v>
      </c>
      <c r="F206" s="1">
        <v>41738</v>
      </c>
      <c r="G206" t="s">
        <v>318</v>
      </c>
      <c r="H206" t="s">
        <v>30</v>
      </c>
      <c r="I206" t="s">
        <v>319</v>
      </c>
      <c r="J206" s="2">
        <v>938007202</v>
      </c>
      <c r="K206" t="s">
        <v>320</v>
      </c>
      <c r="L206" t="s">
        <v>38</v>
      </c>
      <c r="M206" t="s">
        <v>39</v>
      </c>
      <c r="N206" t="s">
        <v>40</v>
      </c>
      <c r="O206" t="s">
        <v>40</v>
      </c>
      <c r="P206" t="s">
        <v>39</v>
      </c>
      <c r="Q206" t="s">
        <v>39</v>
      </c>
      <c r="R206" t="s">
        <v>40</v>
      </c>
      <c r="S206" t="s">
        <v>39</v>
      </c>
      <c r="T206" t="s">
        <v>40</v>
      </c>
      <c r="U206" t="s">
        <v>321</v>
      </c>
    </row>
    <row r="207" spans="1:21" x14ac:dyDescent="0.25">
      <c r="A207">
        <v>1688944</v>
      </c>
      <c r="B207" t="s">
        <v>324</v>
      </c>
      <c r="C207" t="str">
        <f>"9781405859370"</f>
        <v>9781405859370</v>
      </c>
      <c r="D207" t="str">
        <f>"9781317864202"</f>
        <v>9781317864202</v>
      </c>
      <c r="E207" s="1">
        <v>40431</v>
      </c>
      <c r="F207" s="1">
        <v>42334</v>
      </c>
      <c r="G207" t="s">
        <v>325</v>
      </c>
      <c r="H207" t="s">
        <v>30</v>
      </c>
      <c r="I207" t="s">
        <v>326</v>
      </c>
      <c r="J207" s="2">
        <v>956704</v>
      </c>
      <c r="K207" t="s">
        <v>327</v>
      </c>
      <c r="L207" t="s">
        <v>38</v>
      </c>
      <c r="M207" t="s">
        <v>39</v>
      </c>
      <c r="N207" t="s">
        <v>40</v>
      </c>
      <c r="O207" t="s">
        <v>40</v>
      </c>
      <c r="P207" t="s">
        <v>39</v>
      </c>
      <c r="Q207" t="s">
        <v>39</v>
      </c>
      <c r="R207" t="s">
        <v>40</v>
      </c>
      <c r="S207" t="s">
        <v>39</v>
      </c>
      <c r="T207" t="s">
        <v>40</v>
      </c>
      <c r="U207" t="s">
        <v>328</v>
      </c>
    </row>
    <row r="208" spans="1:21" x14ac:dyDescent="0.25">
      <c r="A208">
        <v>1699287</v>
      </c>
      <c r="B208" t="s">
        <v>329</v>
      </c>
      <c r="C208" t="str">
        <f>"9780415644655"</f>
        <v>9780415644655</v>
      </c>
      <c r="D208" t="str">
        <f>"9781317690160"</f>
        <v>9781317690160</v>
      </c>
      <c r="E208" s="1">
        <v>41781</v>
      </c>
      <c r="F208" s="1">
        <v>41793</v>
      </c>
      <c r="G208" t="s">
        <v>330</v>
      </c>
      <c r="H208" t="s">
        <v>30</v>
      </c>
      <c r="I208" t="s">
        <v>331</v>
      </c>
      <c r="J208">
        <v>938</v>
      </c>
      <c r="K208" t="s">
        <v>332</v>
      </c>
    </row>
    <row r="209" spans="1:21" x14ac:dyDescent="0.25">
      <c r="A209">
        <v>1702417</v>
      </c>
      <c r="B209" t="s">
        <v>333</v>
      </c>
      <c r="C209" t="str">
        <f>"9780415305044"</f>
        <v>9780415305044</v>
      </c>
      <c r="D209" t="str">
        <f>"9781317709640"</f>
        <v>9781317709640</v>
      </c>
      <c r="E209" s="1">
        <v>37610</v>
      </c>
      <c r="F209" s="1">
        <v>41795</v>
      </c>
      <c r="G209" t="s">
        <v>137</v>
      </c>
      <c r="H209" t="s">
        <v>30</v>
      </c>
      <c r="I209" t="s">
        <v>334</v>
      </c>
      <c r="J209" t="s">
        <v>335</v>
      </c>
      <c r="K209" t="s">
        <v>336</v>
      </c>
    </row>
    <row r="210" spans="1:21" x14ac:dyDescent="0.25">
      <c r="A210">
        <v>1710619</v>
      </c>
      <c r="B210" t="s">
        <v>337</v>
      </c>
      <c r="C210" t="str">
        <f>"9781408272763"</f>
        <v>9781408272763</v>
      </c>
      <c r="D210" t="str">
        <f>"9781317860754"</f>
        <v>9781317860754</v>
      </c>
      <c r="E210" s="1">
        <v>40682</v>
      </c>
      <c r="F210" s="1">
        <v>42334</v>
      </c>
      <c r="G210" t="s">
        <v>338</v>
      </c>
      <c r="H210" t="s">
        <v>30</v>
      </c>
      <c r="I210" t="s">
        <v>339</v>
      </c>
      <c r="J210" t="s">
        <v>340</v>
      </c>
      <c r="K210" t="s">
        <v>341</v>
      </c>
    </row>
    <row r="211" spans="1:21" x14ac:dyDescent="0.25">
      <c r="A211">
        <v>1710654</v>
      </c>
      <c r="B211" t="s">
        <v>342</v>
      </c>
      <c r="C211" t="str">
        <f>"9781405840583"</f>
        <v>9781405840583</v>
      </c>
      <c r="D211" t="str">
        <f>"9781317865162"</f>
        <v>9781317865162</v>
      </c>
      <c r="E211" s="1">
        <v>39639</v>
      </c>
      <c r="F211" s="1">
        <v>42334</v>
      </c>
      <c r="G211" t="s">
        <v>343</v>
      </c>
      <c r="H211" t="s">
        <v>30</v>
      </c>
      <c r="I211" t="s">
        <v>344</v>
      </c>
      <c r="J211" t="s">
        <v>345</v>
      </c>
      <c r="K211" t="s">
        <v>346</v>
      </c>
      <c r="L211" t="s">
        <v>38</v>
      </c>
      <c r="M211" t="s">
        <v>39</v>
      </c>
      <c r="N211" t="s">
        <v>40</v>
      </c>
      <c r="O211" t="s">
        <v>40</v>
      </c>
      <c r="P211" t="s">
        <v>39</v>
      </c>
      <c r="Q211" t="s">
        <v>39</v>
      </c>
      <c r="R211" t="s">
        <v>40</v>
      </c>
      <c r="S211" t="s">
        <v>39</v>
      </c>
      <c r="T211" t="s">
        <v>40</v>
      </c>
      <c r="U211" t="s">
        <v>347</v>
      </c>
    </row>
    <row r="212" spans="1:21" x14ac:dyDescent="0.25">
      <c r="A212">
        <v>1733996</v>
      </c>
      <c r="B212" t="s">
        <v>352</v>
      </c>
      <c r="C212" t="str">
        <f>"9780582212886"</f>
        <v>9780582212886</v>
      </c>
      <c r="D212" t="str">
        <f>"9781317893936"</f>
        <v>9781317893936</v>
      </c>
      <c r="E212" s="1">
        <v>34429</v>
      </c>
      <c r="F212" s="1">
        <v>42334</v>
      </c>
      <c r="G212" t="s">
        <v>353</v>
      </c>
      <c r="H212" t="s">
        <v>30</v>
      </c>
      <c r="I212" t="s">
        <v>354</v>
      </c>
      <c r="J212" t="s">
        <v>355</v>
      </c>
      <c r="K212" t="s">
        <v>356</v>
      </c>
      <c r="L212" t="s">
        <v>38</v>
      </c>
      <c r="M212" t="s">
        <v>39</v>
      </c>
      <c r="N212" t="s">
        <v>40</v>
      </c>
      <c r="O212" t="s">
        <v>40</v>
      </c>
      <c r="P212" t="s">
        <v>39</v>
      </c>
      <c r="Q212" t="s">
        <v>39</v>
      </c>
      <c r="R212" t="s">
        <v>40</v>
      </c>
      <c r="S212" t="s">
        <v>39</v>
      </c>
      <c r="T212" t="s">
        <v>40</v>
      </c>
      <c r="U212" t="s">
        <v>357</v>
      </c>
    </row>
    <row r="213" spans="1:21" x14ac:dyDescent="0.25">
      <c r="A213">
        <v>1741866</v>
      </c>
      <c r="B213" t="s">
        <v>360</v>
      </c>
      <c r="C213" t="str">
        <f>"9781405846998"</f>
        <v>9781405846998</v>
      </c>
      <c r="D213" t="str">
        <f>"9781317864714"</f>
        <v>9781317864714</v>
      </c>
      <c r="E213" s="1">
        <v>39940</v>
      </c>
      <c r="F213" s="1">
        <v>42334</v>
      </c>
      <c r="G213" t="s">
        <v>361</v>
      </c>
      <c r="H213" t="s">
        <v>30</v>
      </c>
      <c r="I213" t="s">
        <v>362</v>
      </c>
      <c r="J213">
        <v>940</v>
      </c>
      <c r="K213" t="s">
        <v>363</v>
      </c>
    </row>
    <row r="214" spans="1:21" x14ac:dyDescent="0.25">
      <c r="A214">
        <v>1743900</v>
      </c>
      <c r="B214" t="s">
        <v>364</v>
      </c>
      <c r="C214" t="str">
        <f>"9780582092570"</f>
        <v>9780582092570</v>
      </c>
      <c r="D214" t="str">
        <f>"9781317895435"</f>
        <v>9781317895435</v>
      </c>
      <c r="E214" s="1">
        <v>33952</v>
      </c>
      <c r="F214" s="1">
        <v>41837</v>
      </c>
      <c r="G214" t="s">
        <v>365</v>
      </c>
      <c r="H214" t="s">
        <v>30</v>
      </c>
      <c r="I214" t="s">
        <v>366</v>
      </c>
      <c r="J214" t="s">
        <v>204</v>
      </c>
      <c r="K214" t="s">
        <v>367</v>
      </c>
      <c r="L214" t="s">
        <v>38</v>
      </c>
      <c r="M214" t="s">
        <v>39</v>
      </c>
      <c r="N214" t="s">
        <v>40</v>
      </c>
      <c r="O214" t="s">
        <v>40</v>
      </c>
      <c r="P214" t="s">
        <v>39</v>
      </c>
      <c r="Q214" t="s">
        <v>39</v>
      </c>
      <c r="R214" t="s">
        <v>40</v>
      </c>
      <c r="S214" t="s">
        <v>39</v>
      </c>
      <c r="T214" t="s">
        <v>40</v>
      </c>
      <c r="U214" t="s">
        <v>368</v>
      </c>
    </row>
    <row r="215" spans="1:21" x14ac:dyDescent="0.25">
      <c r="A215">
        <v>1747325</v>
      </c>
      <c r="B215" t="s">
        <v>373</v>
      </c>
      <c r="C215" t="str">
        <f>"9780582253742"</f>
        <v>9780582253742</v>
      </c>
      <c r="D215" t="str">
        <f>"9781317890751"</f>
        <v>9781317890751</v>
      </c>
      <c r="E215" s="1">
        <v>35535</v>
      </c>
      <c r="F215" s="1">
        <v>42334</v>
      </c>
      <c r="G215" t="s">
        <v>374</v>
      </c>
      <c r="H215" t="s">
        <v>30</v>
      </c>
      <c r="I215" t="s">
        <v>375</v>
      </c>
      <c r="J215">
        <v>940</v>
      </c>
      <c r="K215" t="s">
        <v>376</v>
      </c>
      <c r="L215" t="s">
        <v>38</v>
      </c>
      <c r="M215" t="s">
        <v>39</v>
      </c>
      <c r="N215" t="s">
        <v>40</v>
      </c>
      <c r="O215" t="s">
        <v>40</v>
      </c>
      <c r="P215" t="s">
        <v>39</v>
      </c>
      <c r="Q215" t="s">
        <v>39</v>
      </c>
      <c r="R215" t="s">
        <v>40</v>
      </c>
      <c r="S215" t="s">
        <v>39</v>
      </c>
      <c r="T215" t="s">
        <v>40</v>
      </c>
      <c r="U215" t="s">
        <v>377</v>
      </c>
    </row>
    <row r="216" spans="1:21" x14ac:dyDescent="0.25">
      <c r="A216">
        <v>1747342</v>
      </c>
      <c r="B216" t="s">
        <v>378</v>
      </c>
      <c r="C216" t="str">
        <f>"9780582772960"</f>
        <v>9780582772960</v>
      </c>
      <c r="D216" t="str">
        <f>"9781317868255"</f>
        <v>9781317868255</v>
      </c>
      <c r="E216" s="1">
        <v>39989</v>
      </c>
      <c r="F216" s="1">
        <v>41843</v>
      </c>
      <c r="G216" t="s">
        <v>379</v>
      </c>
      <c r="H216" t="s">
        <v>30</v>
      </c>
      <c r="I216" t="s">
        <v>380</v>
      </c>
      <c r="J216" t="s">
        <v>381</v>
      </c>
      <c r="K216" t="s">
        <v>382</v>
      </c>
      <c r="L216" t="s">
        <v>38</v>
      </c>
      <c r="M216" t="s">
        <v>39</v>
      </c>
      <c r="N216" t="s">
        <v>40</v>
      </c>
      <c r="O216" t="s">
        <v>40</v>
      </c>
      <c r="P216" t="s">
        <v>39</v>
      </c>
      <c r="Q216" t="s">
        <v>39</v>
      </c>
      <c r="R216" t="s">
        <v>40</v>
      </c>
      <c r="S216" t="s">
        <v>39</v>
      </c>
      <c r="T216" t="s">
        <v>40</v>
      </c>
      <c r="U216" t="s">
        <v>383</v>
      </c>
    </row>
    <row r="217" spans="1:21" x14ac:dyDescent="0.25">
      <c r="A217">
        <v>1756990</v>
      </c>
      <c r="B217" t="s">
        <v>384</v>
      </c>
      <c r="C217" t="str">
        <f>"9780582251472"</f>
        <v>9780582251472</v>
      </c>
      <c r="D217" t="str">
        <f>"9781317890935"</f>
        <v>9781317890935</v>
      </c>
      <c r="E217" s="1">
        <v>35591</v>
      </c>
      <c r="F217" s="1">
        <v>42334</v>
      </c>
      <c r="G217" t="s">
        <v>385</v>
      </c>
      <c r="H217" t="s">
        <v>30</v>
      </c>
      <c r="I217" t="s">
        <v>386</v>
      </c>
      <c r="J217" s="2">
        <v>95190421</v>
      </c>
      <c r="K217" t="s">
        <v>387</v>
      </c>
      <c r="L217" t="s">
        <v>38</v>
      </c>
      <c r="M217" t="s">
        <v>39</v>
      </c>
      <c r="N217" t="s">
        <v>40</v>
      </c>
      <c r="O217" t="s">
        <v>40</v>
      </c>
      <c r="P217" t="s">
        <v>39</v>
      </c>
      <c r="Q217" t="s">
        <v>39</v>
      </c>
      <c r="R217" t="s">
        <v>40</v>
      </c>
      <c r="S217" t="s">
        <v>39</v>
      </c>
      <c r="T217" t="s">
        <v>40</v>
      </c>
      <c r="U217" t="s">
        <v>388</v>
      </c>
    </row>
    <row r="218" spans="1:21" x14ac:dyDescent="0.25">
      <c r="A218">
        <v>1775335</v>
      </c>
      <c r="B218" t="s">
        <v>396</v>
      </c>
      <c r="C218" t="str">
        <f>"9780415521949"</f>
        <v>9780415521949</v>
      </c>
      <c r="D218" t="str">
        <f>"9781136174537"</f>
        <v>9781136174537</v>
      </c>
      <c r="E218" s="1">
        <v>41898</v>
      </c>
      <c r="F218" s="1">
        <v>41879</v>
      </c>
      <c r="G218" t="s">
        <v>397</v>
      </c>
      <c r="H218" t="s">
        <v>30</v>
      </c>
      <c r="I218" t="s">
        <v>398</v>
      </c>
      <c r="J218" s="2">
        <v>973927092</v>
      </c>
      <c r="K218" t="s">
        <v>399</v>
      </c>
      <c r="L218" t="s">
        <v>38</v>
      </c>
      <c r="M218" t="s">
        <v>39</v>
      </c>
      <c r="N218" t="s">
        <v>40</v>
      </c>
      <c r="O218" t="s">
        <v>40</v>
      </c>
      <c r="P218" t="s">
        <v>39</v>
      </c>
      <c r="Q218" t="s">
        <v>39</v>
      </c>
      <c r="R218" t="s">
        <v>40</v>
      </c>
      <c r="S218" t="s">
        <v>39</v>
      </c>
      <c r="T218" t="s">
        <v>40</v>
      </c>
      <c r="U218" t="s">
        <v>400</v>
      </c>
    </row>
    <row r="219" spans="1:21" x14ac:dyDescent="0.25">
      <c r="A219">
        <v>1782366</v>
      </c>
      <c r="B219" t="s">
        <v>401</v>
      </c>
      <c r="C219" t="str">
        <f>"9781405840286"</f>
        <v>9781405840286</v>
      </c>
      <c r="D219" t="str">
        <f>"9781317865254"</f>
        <v>9781317865254</v>
      </c>
      <c r="E219" s="1">
        <v>39198</v>
      </c>
      <c r="F219" s="1">
        <v>42334</v>
      </c>
      <c r="G219" t="s">
        <v>402</v>
      </c>
      <c r="H219" t="s">
        <v>30</v>
      </c>
      <c r="I219" t="s">
        <v>403</v>
      </c>
      <c r="J219" t="s">
        <v>404</v>
      </c>
      <c r="K219" t="s">
        <v>405</v>
      </c>
      <c r="L219" t="s">
        <v>38</v>
      </c>
      <c r="M219" t="s">
        <v>39</v>
      </c>
      <c r="N219" t="s">
        <v>40</v>
      </c>
      <c r="O219" t="s">
        <v>40</v>
      </c>
      <c r="P219" t="s">
        <v>39</v>
      </c>
      <c r="Q219" t="s">
        <v>39</v>
      </c>
      <c r="R219" t="s">
        <v>40</v>
      </c>
      <c r="S219" t="s">
        <v>39</v>
      </c>
      <c r="T219" t="s">
        <v>40</v>
      </c>
      <c r="U219" t="s">
        <v>406</v>
      </c>
    </row>
    <row r="220" spans="1:21" x14ac:dyDescent="0.25">
      <c r="A220">
        <v>1791046</v>
      </c>
      <c r="B220" t="s">
        <v>409</v>
      </c>
      <c r="C220" t="str">
        <f>"9780582072251"</f>
        <v>9780582072251</v>
      </c>
      <c r="D220" t="str">
        <f>"9781317897804"</f>
        <v>9781317897804</v>
      </c>
      <c r="E220" s="1">
        <v>34064</v>
      </c>
      <c r="F220" s="1">
        <v>41901</v>
      </c>
      <c r="G220" t="s">
        <v>410</v>
      </c>
      <c r="H220" t="s">
        <v>30</v>
      </c>
      <c r="I220" t="s">
        <v>411</v>
      </c>
      <c r="J220" t="s">
        <v>412</v>
      </c>
      <c r="K220" t="s">
        <v>413</v>
      </c>
      <c r="L220" t="s">
        <v>38</v>
      </c>
      <c r="M220" t="s">
        <v>39</v>
      </c>
      <c r="N220" t="s">
        <v>40</v>
      </c>
      <c r="O220" t="s">
        <v>40</v>
      </c>
      <c r="P220" t="s">
        <v>39</v>
      </c>
      <c r="Q220" t="s">
        <v>39</v>
      </c>
      <c r="R220" t="s">
        <v>40</v>
      </c>
      <c r="S220" t="s">
        <v>39</v>
      </c>
      <c r="T220" t="s">
        <v>40</v>
      </c>
      <c r="U220" t="s">
        <v>414</v>
      </c>
    </row>
    <row r="221" spans="1:21" x14ac:dyDescent="0.25">
      <c r="A221">
        <v>1798424</v>
      </c>
      <c r="B221" t="s">
        <v>420</v>
      </c>
      <c r="C221" t="str">
        <f>"9780582229440"</f>
        <v>9780582229440</v>
      </c>
      <c r="D221" t="str">
        <f>"9781317892762"</f>
        <v>9781317892762</v>
      </c>
      <c r="E221" s="1">
        <v>35810</v>
      </c>
      <c r="F221" s="1">
        <v>41908</v>
      </c>
      <c r="G221" t="s">
        <v>421</v>
      </c>
      <c r="H221" t="s">
        <v>30</v>
      </c>
      <c r="I221" t="s">
        <v>422</v>
      </c>
      <c r="J221" t="s">
        <v>423</v>
      </c>
      <c r="K221" t="s">
        <v>424</v>
      </c>
    </row>
    <row r="222" spans="1:21" x14ac:dyDescent="0.25">
      <c r="A222">
        <v>1798492</v>
      </c>
      <c r="B222" t="s">
        <v>425</v>
      </c>
      <c r="C222" t="str">
        <f>"9780582072282"</f>
        <v>9780582072282</v>
      </c>
      <c r="D222" t="str">
        <f>"9781317897774"</f>
        <v>9781317897774</v>
      </c>
      <c r="E222" s="1">
        <v>34323</v>
      </c>
      <c r="F222" s="1">
        <v>41908</v>
      </c>
      <c r="G222" t="s">
        <v>426</v>
      </c>
      <c r="H222" t="s">
        <v>30</v>
      </c>
      <c r="I222" t="s">
        <v>427</v>
      </c>
      <c r="J222">
        <v>940</v>
      </c>
      <c r="K222" t="s">
        <v>428</v>
      </c>
      <c r="L222" t="s">
        <v>38</v>
      </c>
      <c r="M222" t="s">
        <v>39</v>
      </c>
      <c r="N222" t="s">
        <v>40</v>
      </c>
      <c r="O222" t="s">
        <v>40</v>
      </c>
      <c r="P222" t="s">
        <v>39</v>
      </c>
      <c r="Q222" t="s">
        <v>39</v>
      </c>
      <c r="R222" t="s">
        <v>40</v>
      </c>
      <c r="S222" t="s">
        <v>39</v>
      </c>
      <c r="T222" t="s">
        <v>40</v>
      </c>
      <c r="U222" t="s">
        <v>429</v>
      </c>
    </row>
    <row r="223" spans="1:21" x14ac:dyDescent="0.25">
      <c r="A223">
        <v>1811012</v>
      </c>
      <c r="B223" t="s">
        <v>430</v>
      </c>
      <c r="C223" t="str">
        <f>"9780415531962"</f>
        <v>9780415531962</v>
      </c>
      <c r="D223" t="str">
        <f>"9781136174322"</f>
        <v>9781136174322</v>
      </c>
      <c r="E223" s="1">
        <v>41922</v>
      </c>
      <c r="F223" s="1">
        <v>41919</v>
      </c>
      <c r="G223" t="s">
        <v>431</v>
      </c>
      <c r="H223" t="s">
        <v>30</v>
      </c>
      <c r="I223" t="s">
        <v>432</v>
      </c>
      <c r="J223" s="2">
        <v>9733092</v>
      </c>
      <c r="K223" t="s">
        <v>433</v>
      </c>
      <c r="L223" t="s">
        <v>38</v>
      </c>
      <c r="M223" t="s">
        <v>39</v>
      </c>
      <c r="N223" t="s">
        <v>40</v>
      </c>
      <c r="O223" t="s">
        <v>40</v>
      </c>
      <c r="P223" t="s">
        <v>39</v>
      </c>
      <c r="Q223" t="s">
        <v>39</v>
      </c>
      <c r="R223" t="s">
        <v>40</v>
      </c>
      <c r="S223" t="s">
        <v>39</v>
      </c>
      <c r="T223" t="s">
        <v>40</v>
      </c>
      <c r="U223" t="s">
        <v>434</v>
      </c>
    </row>
    <row r="224" spans="1:21" x14ac:dyDescent="0.25">
      <c r="A224">
        <v>1864819</v>
      </c>
      <c r="B224" t="s">
        <v>435</v>
      </c>
      <c r="C224" t="str">
        <f>"9780415727280"</f>
        <v>9780415727280</v>
      </c>
      <c r="D224" t="str">
        <f>"9781317596196"</f>
        <v>9781317596196</v>
      </c>
      <c r="E224" s="1">
        <v>41977</v>
      </c>
      <c r="F224" s="1">
        <v>42334</v>
      </c>
      <c r="G224" t="s">
        <v>436</v>
      </c>
      <c r="H224" t="s">
        <v>30</v>
      </c>
      <c r="I224" t="s">
        <v>437</v>
      </c>
      <c r="J224">
        <v>938</v>
      </c>
      <c r="K224" t="s">
        <v>438</v>
      </c>
      <c r="L224" t="s">
        <v>38</v>
      </c>
      <c r="M224" t="s">
        <v>40</v>
      </c>
      <c r="N224" t="s">
        <v>40</v>
      </c>
      <c r="O224" t="s">
        <v>40</v>
      </c>
      <c r="P224" t="s">
        <v>39</v>
      </c>
      <c r="Q224" t="s">
        <v>39</v>
      </c>
      <c r="R224" t="s">
        <v>40</v>
      </c>
      <c r="S224" t="s">
        <v>39</v>
      </c>
      <c r="T224" t="s">
        <v>40</v>
      </c>
      <c r="U224" t="s">
        <v>439</v>
      </c>
    </row>
    <row r="225" spans="1:21" x14ac:dyDescent="0.25">
      <c r="A225">
        <v>1889107</v>
      </c>
      <c r="B225" t="s">
        <v>440</v>
      </c>
      <c r="C225" t="str">
        <f>"9780708324837"</f>
        <v>9780708324837</v>
      </c>
      <c r="D225" t="str">
        <f>"9780708324844"</f>
        <v>9780708324844</v>
      </c>
      <c r="E225" s="1">
        <v>41014</v>
      </c>
      <c r="F225" s="1">
        <v>42313</v>
      </c>
      <c r="G225" t="s">
        <v>441</v>
      </c>
      <c r="H225" t="s">
        <v>30</v>
      </c>
      <c r="I225" t="s">
        <v>442</v>
      </c>
      <c r="J225" s="2">
        <v>9429081</v>
      </c>
      <c r="K225" t="s">
        <v>443</v>
      </c>
    </row>
    <row r="226" spans="1:21" x14ac:dyDescent="0.25">
      <c r="A226">
        <v>1899945</v>
      </c>
      <c r="B226" t="s">
        <v>444</v>
      </c>
      <c r="C226" t="str">
        <f>"9780765623867"</f>
        <v>9780765623867</v>
      </c>
      <c r="D226" t="str">
        <f>"9781317454526"</f>
        <v>9781317454526</v>
      </c>
      <c r="E226" s="1">
        <v>40283</v>
      </c>
      <c r="F226" s="1">
        <v>42334</v>
      </c>
      <c r="G226" t="s">
        <v>445</v>
      </c>
      <c r="H226" t="s">
        <v>30</v>
      </c>
      <c r="I226" t="s">
        <v>446</v>
      </c>
      <c r="J226" s="2">
        <v>947084</v>
      </c>
      <c r="K226" t="s">
        <v>447</v>
      </c>
    </row>
    <row r="227" spans="1:21" x14ac:dyDescent="0.25">
      <c r="A227">
        <v>1899987</v>
      </c>
      <c r="B227" t="s">
        <v>448</v>
      </c>
      <c r="C227" t="str">
        <f>"9780765639660"</f>
        <v>9780765639660</v>
      </c>
      <c r="D227" t="str">
        <f>"9781317459590"</f>
        <v>9781317459590</v>
      </c>
      <c r="E227" s="1">
        <v>41728</v>
      </c>
      <c r="F227" s="1">
        <v>41992</v>
      </c>
      <c r="G227" t="s">
        <v>449</v>
      </c>
      <c r="H227" t="s">
        <v>30</v>
      </c>
      <c r="I227" t="s">
        <v>450</v>
      </c>
      <c r="J227">
        <v>954</v>
      </c>
      <c r="K227" t="s">
        <v>451</v>
      </c>
      <c r="L227" t="s">
        <v>38</v>
      </c>
      <c r="M227" t="s">
        <v>39</v>
      </c>
      <c r="N227" t="s">
        <v>40</v>
      </c>
      <c r="O227" t="s">
        <v>40</v>
      </c>
      <c r="P227" t="s">
        <v>39</v>
      </c>
      <c r="Q227" t="s">
        <v>39</v>
      </c>
      <c r="R227" t="s">
        <v>40</v>
      </c>
      <c r="S227" t="s">
        <v>39</v>
      </c>
      <c r="T227" t="s">
        <v>40</v>
      </c>
      <c r="U227" t="s">
        <v>452</v>
      </c>
    </row>
    <row r="228" spans="1:21" x14ac:dyDescent="0.25">
      <c r="A228">
        <v>1900002</v>
      </c>
      <c r="B228" t="s">
        <v>453</v>
      </c>
      <c r="C228" t="str">
        <f>"9780765618221"</f>
        <v>9780765618221</v>
      </c>
      <c r="D228" t="str">
        <f>"9781317464631"</f>
        <v>9781317464631</v>
      </c>
      <c r="E228" s="1">
        <v>39431</v>
      </c>
      <c r="F228" s="1">
        <v>41992</v>
      </c>
      <c r="G228" t="s">
        <v>454</v>
      </c>
      <c r="H228" t="s">
        <v>30</v>
      </c>
      <c r="I228" t="s">
        <v>455</v>
      </c>
      <c r="J228" t="s">
        <v>456</v>
      </c>
      <c r="K228" t="s">
        <v>457</v>
      </c>
      <c r="L228" t="s">
        <v>38</v>
      </c>
      <c r="M228" t="s">
        <v>39</v>
      </c>
      <c r="N228" t="s">
        <v>40</v>
      </c>
      <c r="O228" t="s">
        <v>40</v>
      </c>
      <c r="P228" t="s">
        <v>39</v>
      </c>
      <c r="Q228" t="s">
        <v>39</v>
      </c>
      <c r="R228" t="s">
        <v>40</v>
      </c>
      <c r="S228" t="s">
        <v>39</v>
      </c>
      <c r="T228" t="s">
        <v>40</v>
      </c>
      <c r="U228" t="s">
        <v>458</v>
      </c>
    </row>
    <row r="229" spans="1:21" x14ac:dyDescent="0.25">
      <c r="A229">
        <v>1924479</v>
      </c>
      <c r="B229" t="s">
        <v>459</v>
      </c>
      <c r="C229" t="str">
        <f>"9781138786806"</f>
        <v>9781138786806</v>
      </c>
      <c r="D229" t="str">
        <f>"9781317662297"</f>
        <v>9781317662297</v>
      </c>
      <c r="E229" s="1">
        <v>42026</v>
      </c>
      <c r="F229" s="1">
        <v>42024</v>
      </c>
      <c r="G229" t="s">
        <v>460</v>
      </c>
      <c r="H229" t="s">
        <v>30</v>
      </c>
      <c r="I229" t="s">
        <v>461</v>
      </c>
      <c r="J229" t="s">
        <v>462</v>
      </c>
      <c r="K229" t="s">
        <v>463</v>
      </c>
      <c r="L229" t="s">
        <v>38</v>
      </c>
      <c r="M229" t="s">
        <v>39</v>
      </c>
      <c r="N229" t="s">
        <v>40</v>
      </c>
      <c r="O229" t="s">
        <v>40</v>
      </c>
      <c r="P229" t="s">
        <v>39</v>
      </c>
      <c r="Q229" t="s">
        <v>39</v>
      </c>
      <c r="R229" t="s">
        <v>40</v>
      </c>
      <c r="S229" t="s">
        <v>39</v>
      </c>
      <c r="T229" t="s">
        <v>40</v>
      </c>
      <c r="U229" t="s">
        <v>464</v>
      </c>
    </row>
    <row r="230" spans="1:21" x14ac:dyDescent="0.25">
      <c r="A230">
        <v>1982478</v>
      </c>
      <c r="B230" t="s">
        <v>471</v>
      </c>
      <c r="C230" t="str">
        <f>"9781138781610"</f>
        <v>9781138781610</v>
      </c>
      <c r="D230" t="str">
        <f>"9781317552215"</f>
        <v>9781317552215</v>
      </c>
      <c r="E230" s="1">
        <v>42072</v>
      </c>
      <c r="F230" s="1">
        <v>42334</v>
      </c>
      <c r="G230" t="s">
        <v>262</v>
      </c>
      <c r="H230" t="s">
        <v>30</v>
      </c>
    </row>
    <row r="231" spans="1:21" x14ac:dyDescent="0.25">
      <c r="A231">
        <v>2005317</v>
      </c>
      <c r="B231" t="s">
        <v>472</v>
      </c>
      <c r="C231" t="str">
        <f>"9780765680938"</f>
        <v>9780765680938</v>
      </c>
      <c r="D231" t="str">
        <f>"9781317454151"</f>
        <v>9781317454151</v>
      </c>
      <c r="E231" s="1">
        <v>39583</v>
      </c>
      <c r="F231" s="1">
        <v>39583</v>
      </c>
      <c r="G231" t="s">
        <v>473</v>
      </c>
      <c r="H231" t="s">
        <v>30</v>
      </c>
      <c r="I231" t="s">
        <v>474</v>
      </c>
      <c r="J231" t="s">
        <v>475</v>
      </c>
      <c r="K231" t="s">
        <v>476</v>
      </c>
      <c r="L231" t="s">
        <v>38</v>
      </c>
      <c r="M231" t="s">
        <v>39</v>
      </c>
      <c r="N231" t="s">
        <v>40</v>
      </c>
      <c r="O231" t="s">
        <v>40</v>
      </c>
      <c r="P231" t="s">
        <v>39</v>
      </c>
      <c r="Q231" t="s">
        <v>39</v>
      </c>
      <c r="R231" t="s">
        <v>40</v>
      </c>
      <c r="S231" t="s">
        <v>39</v>
      </c>
      <c r="T231" t="s">
        <v>40</v>
      </c>
      <c r="U231" t="s">
        <v>477</v>
      </c>
    </row>
    <row r="232" spans="1:21" x14ac:dyDescent="0.25">
      <c r="A232">
        <v>3029347</v>
      </c>
      <c r="B232" t="s">
        <v>487</v>
      </c>
      <c r="C232" t="str">
        <f>"9780813347875"</f>
        <v>9780813347875</v>
      </c>
      <c r="D232" t="str">
        <f>"9780813347882"</f>
        <v>9780813347882</v>
      </c>
      <c r="E232" s="1">
        <v>41513</v>
      </c>
      <c r="F232" s="1">
        <v>41941</v>
      </c>
      <c r="G232" t="s">
        <v>488</v>
      </c>
      <c r="H232" t="s">
        <v>30</v>
      </c>
      <c r="I232" t="s">
        <v>489</v>
      </c>
      <c r="J232">
        <v>960</v>
      </c>
      <c r="K232" t="s">
        <v>490</v>
      </c>
    </row>
    <row r="233" spans="1:21" x14ac:dyDescent="0.25">
      <c r="A233">
        <v>3411360</v>
      </c>
      <c r="B233" t="s">
        <v>499</v>
      </c>
      <c r="C233" t="str">
        <f>"9781412854665"</f>
        <v>9781412854665</v>
      </c>
      <c r="D233" t="str">
        <f>"9781412855150"</f>
        <v>9781412855150</v>
      </c>
      <c r="E233" s="1">
        <v>41912</v>
      </c>
      <c r="F233" s="1">
        <v>41892</v>
      </c>
      <c r="G233" t="s">
        <v>500</v>
      </c>
      <c r="H233" t="s">
        <v>30</v>
      </c>
      <c r="I233" t="s">
        <v>501</v>
      </c>
      <c r="J233" t="s">
        <v>277</v>
      </c>
      <c r="K233" t="s">
        <v>502</v>
      </c>
      <c r="L233" t="s">
        <v>38</v>
      </c>
      <c r="M233" t="s">
        <v>39</v>
      </c>
      <c r="N233" t="s">
        <v>40</v>
      </c>
      <c r="O233" t="s">
        <v>40</v>
      </c>
      <c r="P233" t="s">
        <v>39</v>
      </c>
      <c r="Q233" t="s">
        <v>39</v>
      </c>
      <c r="R233" t="s">
        <v>40</v>
      </c>
      <c r="S233" t="s">
        <v>39</v>
      </c>
      <c r="T233" t="s">
        <v>40</v>
      </c>
      <c r="U233" t="s">
        <v>503</v>
      </c>
    </row>
    <row r="234" spans="1:21" x14ac:dyDescent="0.25">
      <c r="A234">
        <v>3411382</v>
      </c>
      <c r="B234" t="s">
        <v>504</v>
      </c>
      <c r="C234" t="str">
        <f>"9781412855013"</f>
        <v>9781412855013</v>
      </c>
      <c r="D234" t="str">
        <f>"9781412855426"</f>
        <v>9781412855426</v>
      </c>
      <c r="E234" s="1">
        <v>42063</v>
      </c>
      <c r="F234" s="1">
        <v>42021</v>
      </c>
      <c r="G234" t="s">
        <v>505</v>
      </c>
      <c r="H234" t="s">
        <v>30</v>
      </c>
      <c r="I234" t="s">
        <v>506</v>
      </c>
      <c r="J234">
        <v>973</v>
      </c>
      <c r="K234" t="s">
        <v>507</v>
      </c>
      <c r="L234" t="s">
        <v>38</v>
      </c>
      <c r="M234" t="s">
        <v>39</v>
      </c>
      <c r="N234" t="s">
        <v>40</v>
      </c>
      <c r="O234" t="s">
        <v>40</v>
      </c>
      <c r="P234" t="s">
        <v>39</v>
      </c>
      <c r="Q234" t="s">
        <v>39</v>
      </c>
      <c r="R234" t="s">
        <v>40</v>
      </c>
      <c r="S234" t="s">
        <v>39</v>
      </c>
      <c r="T234" t="s">
        <v>40</v>
      </c>
      <c r="U234" t="s">
        <v>508</v>
      </c>
    </row>
    <row r="235" spans="1:21" x14ac:dyDescent="0.25">
      <c r="A235">
        <v>3569115</v>
      </c>
      <c r="B235" t="s">
        <v>519</v>
      </c>
      <c r="C235" t="str">
        <f>"9780765643216"</f>
        <v>9780765643216</v>
      </c>
      <c r="D235" t="str">
        <f>"9781315717340"</f>
        <v>9781315717340</v>
      </c>
      <c r="E235" s="1">
        <v>42143</v>
      </c>
      <c r="F235" s="1">
        <v>42144</v>
      </c>
      <c r="G235" t="s">
        <v>520</v>
      </c>
      <c r="H235" t="s">
        <v>30</v>
      </c>
      <c r="I235" t="s">
        <v>521</v>
      </c>
      <c r="J235">
        <v>950</v>
      </c>
      <c r="K235" t="s">
        <v>522</v>
      </c>
    </row>
    <row r="236" spans="1:21" x14ac:dyDescent="0.25">
      <c r="A236">
        <v>4014765</v>
      </c>
      <c r="B236" t="s">
        <v>534</v>
      </c>
      <c r="C236" t="str">
        <f>"9781138924659"</f>
        <v>9781138924659</v>
      </c>
      <c r="D236" t="str">
        <f>"9781317408505"</f>
        <v>9781317408505</v>
      </c>
      <c r="E236" s="1">
        <v>42297</v>
      </c>
      <c r="F236" s="1">
        <v>42319</v>
      </c>
      <c r="G236" t="s">
        <v>535</v>
      </c>
      <c r="H236" t="s">
        <v>30</v>
      </c>
      <c r="I236" t="s">
        <v>536</v>
      </c>
      <c r="J236" t="s">
        <v>537</v>
      </c>
      <c r="L236" t="s">
        <v>38</v>
      </c>
      <c r="M236" t="s">
        <v>39</v>
      </c>
      <c r="N236" t="s">
        <v>40</v>
      </c>
      <c r="O236" t="s">
        <v>40</v>
      </c>
      <c r="P236" t="s">
        <v>39</v>
      </c>
      <c r="Q236" t="s">
        <v>39</v>
      </c>
      <c r="R236" t="s">
        <v>40</v>
      </c>
      <c r="S236" t="s">
        <v>39</v>
      </c>
      <c r="T236" t="s">
        <v>40</v>
      </c>
      <c r="U236" t="s">
        <v>538</v>
      </c>
    </row>
    <row r="237" spans="1:21" x14ac:dyDescent="0.25">
      <c r="A237">
        <v>4098161</v>
      </c>
      <c r="B237" t="s">
        <v>539</v>
      </c>
      <c r="C237" t="str">
        <f>"9781138841710"</f>
        <v>9781138841710</v>
      </c>
      <c r="D237" t="str">
        <f>"9781317340904"</f>
        <v>9781317340904</v>
      </c>
      <c r="E237" s="1">
        <v>42331</v>
      </c>
      <c r="F237" s="1">
        <v>42334</v>
      </c>
      <c r="G237" t="s">
        <v>540</v>
      </c>
      <c r="H237" t="s">
        <v>30</v>
      </c>
      <c r="I237" t="s">
        <v>541</v>
      </c>
      <c r="J237" t="s">
        <v>542</v>
      </c>
      <c r="L237" t="s">
        <v>38</v>
      </c>
      <c r="M237" t="s">
        <v>39</v>
      </c>
      <c r="N237" t="s">
        <v>40</v>
      </c>
      <c r="O237" t="s">
        <v>40</v>
      </c>
      <c r="P237" t="s">
        <v>39</v>
      </c>
      <c r="Q237" t="s">
        <v>39</v>
      </c>
      <c r="R237" t="s">
        <v>40</v>
      </c>
      <c r="S237" t="s">
        <v>39</v>
      </c>
      <c r="T237" t="s">
        <v>40</v>
      </c>
      <c r="U237" t="s">
        <v>543</v>
      </c>
    </row>
    <row r="238" spans="1:21" x14ac:dyDescent="0.25">
      <c r="A238">
        <v>4177741</v>
      </c>
      <c r="B238" t="s">
        <v>544</v>
      </c>
      <c r="C238" t="str">
        <f>"9781138943766"</f>
        <v>9781138943766</v>
      </c>
      <c r="D238" t="str">
        <f>"9781317362487"</f>
        <v>9781317362487</v>
      </c>
      <c r="E238" s="1">
        <v>42328</v>
      </c>
      <c r="F238" s="1">
        <v>42530</v>
      </c>
      <c r="G238" t="s">
        <v>545</v>
      </c>
      <c r="H238" t="s">
        <v>30</v>
      </c>
    </row>
    <row r="239" spans="1:21" x14ac:dyDescent="0.25">
      <c r="A239">
        <v>4186419</v>
      </c>
      <c r="B239" t="s">
        <v>548</v>
      </c>
      <c r="C239" t="str">
        <f>"9781612052533"</f>
        <v>9781612052533</v>
      </c>
      <c r="D239" t="str">
        <f>"9781315635118"</f>
        <v>9781315635118</v>
      </c>
      <c r="E239" s="1">
        <v>41182</v>
      </c>
      <c r="F239" s="1">
        <v>42342</v>
      </c>
      <c r="G239" t="s">
        <v>549</v>
      </c>
      <c r="H239" t="s">
        <v>30</v>
      </c>
    </row>
    <row r="240" spans="1:21" x14ac:dyDescent="0.25">
      <c r="A240">
        <v>4218084</v>
      </c>
      <c r="B240" t="s">
        <v>550</v>
      </c>
      <c r="C240" t="str">
        <f>"9781138015654"</f>
        <v>9781138015654</v>
      </c>
      <c r="D240" t="str">
        <f>"9781317297253"</f>
        <v>9781317297253</v>
      </c>
      <c r="E240" s="1">
        <v>42346</v>
      </c>
      <c r="F240" s="1">
        <v>42367</v>
      </c>
      <c r="G240" t="s">
        <v>551</v>
      </c>
      <c r="H240" t="s">
        <v>30</v>
      </c>
      <c r="I240" t="s">
        <v>552</v>
      </c>
      <c r="J240" s="2">
        <v>9410858092</v>
      </c>
      <c r="K240" t="s">
        <v>553</v>
      </c>
      <c r="L240" t="s">
        <v>38</v>
      </c>
      <c r="M240" t="s">
        <v>39</v>
      </c>
      <c r="N240" t="s">
        <v>40</v>
      </c>
      <c r="O240" t="s">
        <v>40</v>
      </c>
      <c r="P240" t="s">
        <v>39</v>
      </c>
      <c r="Q240" t="s">
        <v>39</v>
      </c>
      <c r="R240" t="s">
        <v>40</v>
      </c>
      <c r="S240" t="s">
        <v>39</v>
      </c>
      <c r="T240" t="s">
        <v>40</v>
      </c>
      <c r="U240" t="s">
        <v>554</v>
      </c>
    </row>
    <row r="241" spans="1:21" x14ac:dyDescent="0.25">
      <c r="A241">
        <v>4218326</v>
      </c>
      <c r="B241" t="s">
        <v>555</v>
      </c>
      <c r="C241" t="str">
        <f>"9781138909717"</f>
        <v>9781138909717</v>
      </c>
      <c r="D241" t="str">
        <f>"9781317415527"</f>
        <v>9781317415527</v>
      </c>
      <c r="E241" s="1">
        <v>42346</v>
      </c>
      <c r="F241" s="1">
        <v>42367</v>
      </c>
      <c r="G241" t="s">
        <v>556</v>
      </c>
      <c r="H241" t="s">
        <v>30</v>
      </c>
      <c r="I241" t="s">
        <v>557</v>
      </c>
      <c r="J241" t="s">
        <v>558</v>
      </c>
      <c r="K241" t="s">
        <v>559</v>
      </c>
      <c r="L241" t="s">
        <v>38</v>
      </c>
      <c r="M241" t="s">
        <v>39</v>
      </c>
      <c r="N241" t="s">
        <v>40</v>
      </c>
      <c r="O241" t="s">
        <v>40</v>
      </c>
      <c r="P241" t="s">
        <v>39</v>
      </c>
      <c r="Q241" t="s">
        <v>39</v>
      </c>
      <c r="R241" t="s">
        <v>40</v>
      </c>
      <c r="S241" t="s">
        <v>39</v>
      </c>
      <c r="T241" t="s">
        <v>40</v>
      </c>
      <c r="U241" t="s">
        <v>560</v>
      </c>
    </row>
    <row r="242" spans="1:21" x14ac:dyDescent="0.25">
      <c r="A242">
        <v>4391957</v>
      </c>
      <c r="B242" t="s">
        <v>576</v>
      </c>
      <c r="C242" t="str">
        <f>"9780415720908"</f>
        <v>9780415720908</v>
      </c>
      <c r="D242" t="str">
        <f>"9781317281979"</f>
        <v>9781317281979</v>
      </c>
      <c r="E242" s="1">
        <v>42419</v>
      </c>
      <c r="F242" s="1">
        <v>42406</v>
      </c>
      <c r="G242" t="s">
        <v>577</v>
      </c>
      <c r="H242" t="s">
        <v>30</v>
      </c>
      <c r="I242" t="s">
        <v>578</v>
      </c>
      <c r="J242" t="s">
        <v>579</v>
      </c>
      <c r="K242" t="s">
        <v>580</v>
      </c>
      <c r="L242" t="s">
        <v>38</v>
      </c>
      <c r="M242" t="s">
        <v>39</v>
      </c>
      <c r="N242" t="s">
        <v>40</v>
      </c>
      <c r="O242" t="s">
        <v>40</v>
      </c>
      <c r="P242" t="s">
        <v>39</v>
      </c>
      <c r="Q242" t="s">
        <v>39</v>
      </c>
      <c r="R242" t="s">
        <v>40</v>
      </c>
      <c r="S242" t="s">
        <v>39</v>
      </c>
      <c r="T242" t="s">
        <v>40</v>
      </c>
      <c r="U242" t="s">
        <v>581</v>
      </c>
    </row>
    <row r="243" spans="1:21" x14ac:dyDescent="0.25">
      <c r="A243">
        <v>4513415</v>
      </c>
      <c r="B243" t="s">
        <v>584</v>
      </c>
      <c r="C243" t="str">
        <f>"9781138999091"</f>
        <v>9781138999091</v>
      </c>
      <c r="D243" t="str">
        <f>"9781317243090"</f>
        <v>9781317243090</v>
      </c>
      <c r="E243" s="1">
        <v>42495</v>
      </c>
      <c r="F243" s="1">
        <v>42497</v>
      </c>
      <c r="G243" t="s">
        <v>585</v>
      </c>
      <c r="H243" t="s">
        <v>30</v>
      </c>
      <c r="I243" t="s">
        <v>586</v>
      </c>
      <c r="J243" t="s">
        <v>222</v>
      </c>
      <c r="K243" t="s">
        <v>587</v>
      </c>
      <c r="L243" t="s">
        <v>38</v>
      </c>
      <c r="M243" t="s">
        <v>39</v>
      </c>
      <c r="N243" t="s">
        <v>40</v>
      </c>
      <c r="O243" t="s">
        <v>40</v>
      </c>
      <c r="P243" t="s">
        <v>39</v>
      </c>
      <c r="Q243" t="s">
        <v>39</v>
      </c>
      <c r="R243" t="s">
        <v>40</v>
      </c>
      <c r="S243" t="s">
        <v>39</v>
      </c>
      <c r="T243" t="s">
        <v>40</v>
      </c>
      <c r="U243" t="s">
        <v>588</v>
      </c>
    </row>
    <row r="244" spans="1:21" x14ac:dyDescent="0.25">
      <c r="A244">
        <v>4516533</v>
      </c>
      <c r="B244" t="s">
        <v>591</v>
      </c>
      <c r="C244" t="str">
        <f>"9780415808699"</f>
        <v>9780415808699</v>
      </c>
      <c r="D244" t="str">
        <f>"9781136175152"</f>
        <v>9781136175152</v>
      </c>
      <c r="E244" s="1">
        <v>42499</v>
      </c>
      <c r="F244" s="1">
        <v>42489</v>
      </c>
      <c r="G244" t="s">
        <v>592</v>
      </c>
      <c r="H244" t="s">
        <v>30</v>
      </c>
      <c r="I244" t="s">
        <v>593</v>
      </c>
      <c r="J244" s="2">
        <v>9735092</v>
      </c>
      <c r="K244" t="s">
        <v>594</v>
      </c>
      <c r="L244" t="s">
        <v>38</v>
      </c>
      <c r="M244" t="s">
        <v>39</v>
      </c>
      <c r="N244" t="s">
        <v>40</v>
      </c>
      <c r="O244" t="s">
        <v>40</v>
      </c>
      <c r="P244" t="s">
        <v>39</v>
      </c>
      <c r="Q244" t="s">
        <v>39</v>
      </c>
      <c r="R244" t="s">
        <v>40</v>
      </c>
      <c r="S244" t="s">
        <v>39</v>
      </c>
      <c r="T244" t="s">
        <v>40</v>
      </c>
      <c r="U244" t="s">
        <v>595</v>
      </c>
    </row>
    <row r="245" spans="1:21" x14ac:dyDescent="0.25">
      <c r="A245">
        <v>4542699</v>
      </c>
      <c r="B245" t="s">
        <v>600</v>
      </c>
      <c r="C245" t="str">
        <f>"9781138783461"</f>
        <v>9781138783461</v>
      </c>
      <c r="D245" t="str">
        <f>"9781317667186"</f>
        <v>9781317667186</v>
      </c>
      <c r="E245" s="1">
        <v>42492</v>
      </c>
      <c r="F245" s="1">
        <v>42899</v>
      </c>
      <c r="G245" t="s">
        <v>601</v>
      </c>
      <c r="H245" t="s">
        <v>30</v>
      </c>
      <c r="I245" t="s">
        <v>602</v>
      </c>
      <c r="J245" t="s">
        <v>603</v>
      </c>
      <c r="K245" t="s">
        <v>604</v>
      </c>
      <c r="L245" t="s">
        <v>38</v>
      </c>
      <c r="M245" t="s">
        <v>39</v>
      </c>
      <c r="N245" t="s">
        <v>40</v>
      </c>
      <c r="O245" t="s">
        <v>40</v>
      </c>
      <c r="P245" t="s">
        <v>39</v>
      </c>
      <c r="Q245" t="s">
        <v>39</v>
      </c>
      <c r="R245" t="s">
        <v>40</v>
      </c>
      <c r="S245" t="s">
        <v>39</v>
      </c>
      <c r="T245" t="s">
        <v>40</v>
      </c>
      <c r="U245" t="s">
        <v>605</v>
      </c>
    </row>
    <row r="246" spans="1:21" x14ac:dyDescent="0.25">
      <c r="A246">
        <v>4578743</v>
      </c>
      <c r="B246" t="s">
        <v>611</v>
      </c>
      <c r="C246" t="str">
        <f>"9781598742954"</f>
        <v>9781598742954</v>
      </c>
      <c r="D246" t="str">
        <f>"9781315434964"</f>
        <v>9781315434964</v>
      </c>
      <c r="E246" s="1">
        <v>39599</v>
      </c>
      <c r="F246" s="1">
        <v>42553</v>
      </c>
      <c r="G246" t="s">
        <v>612</v>
      </c>
      <c r="H246" t="s">
        <v>30</v>
      </c>
      <c r="I246" t="s">
        <v>613</v>
      </c>
      <c r="J246" t="s">
        <v>614</v>
      </c>
      <c r="K246" t="s">
        <v>615</v>
      </c>
      <c r="L246" t="s">
        <v>38</v>
      </c>
      <c r="M246" t="s">
        <v>39</v>
      </c>
      <c r="N246" t="s">
        <v>40</v>
      </c>
      <c r="O246" t="s">
        <v>40</v>
      </c>
      <c r="P246" t="s">
        <v>39</v>
      </c>
      <c r="Q246" t="s">
        <v>39</v>
      </c>
      <c r="R246" t="s">
        <v>40</v>
      </c>
      <c r="S246" t="s">
        <v>39</v>
      </c>
      <c r="T246" t="s">
        <v>40</v>
      </c>
      <c r="U246" t="s">
        <v>616</v>
      </c>
    </row>
    <row r="247" spans="1:21" x14ac:dyDescent="0.25">
      <c r="A247">
        <v>4595355</v>
      </c>
      <c r="B247" t="s">
        <v>617</v>
      </c>
      <c r="C247" t="str">
        <f>"9781138838567"</f>
        <v>9781138838567</v>
      </c>
      <c r="D247" t="str">
        <f>"9781317559030"</f>
        <v>9781317559030</v>
      </c>
      <c r="E247" s="1">
        <v>42572</v>
      </c>
      <c r="F247" s="1">
        <v>42567</v>
      </c>
      <c r="G247" t="s">
        <v>618</v>
      </c>
      <c r="H247" t="s">
        <v>30</v>
      </c>
      <c r="I247" t="s">
        <v>619</v>
      </c>
      <c r="J247" t="s">
        <v>620</v>
      </c>
      <c r="K247" t="s">
        <v>621</v>
      </c>
      <c r="L247" t="s">
        <v>38</v>
      </c>
      <c r="M247" t="s">
        <v>39</v>
      </c>
      <c r="N247" t="s">
        <v>40</v>
      </c>
      <c r="O247" t="s">
        <v>40</v>
      </c>
      <c r="P247" t="s">
        <v>39</v>
      </c>
      <c r="Q247" t="s">
        <v>39</v>
      </c>
      <c r="R247" t="s">
        <v>40</v>
      </c>
      <c r="S247" t="s">
        <v>39</v>
      </c>
      <c r="T247" t="s">
        <v>40</v>
      </c>
      <c r="U247" t="s">
        <v>622</v>
      </c>
    </row>
    <row r="248" spans="1:21" x14ac:dyDescent="0.25">
      <c r="A248">
        <v>4684187</v>
      </c>
      <c r="B248" t="s">
        <v>637</v>
      </c>
      <c r="C248" t="str">
        <f>"9780132208604"</f>
        <v>9780132208604</v>
      </c>
      <c r="D248" t="str">
        <f>"9781315510125"</f>
        <v>9781315510125</v>
      </c>
      <c r="E248" s="1">
        <v>40856</v>
      </c>
      <c r="F248" s="1">
        <v>42627</v>
      </c>
      <c r="G248" t="s">
        <v>638</v>
      </c>
      <c r="H248" t="s">
        <v>30</v>
      </c>
      <c r="I248" t="s">
        <v>639</v>
      </c>
      <c r="J248" t="s">
        <v>640</v>
      </c>
      <c r="K248" t="s">
        <v>641</v>
      </c>
      <c r="L248" t="s">
        <v>38</v>
      </c>
      <c r="M248" t="s">
        <v>39</v>
      </c>
      <c r="N248" t="s">
        <v>40</v>
      </c>
      <c r="O248" t="s">
        <v>40</v>
      </c>
      <c r="P248" t="s">
        <v>39</v>
      </c>
      <c r="Q248" t="s">
        <v>39</v>
      </c>
      <c r="R248" t="s">
        <v>40</v>
      </c>
      <c r="S248" t="s">
        <v>39</v>
      </c>
      <c r="T248" t="s">
        <v>40</v>
      </c>
      <c r="U248" t="s">
        <v>642</v>
      </c>
    </row>
    <row r="249" spans="1:21" x14ac:dyDescent="0.25">
      <c r="A249">
        <v>4692086</v>
      </c>
      <c r="B249" t="s">
        <v>643</v>
      </c>
      <c r="C249" t="str">
        <f>"9780205846894"</f>
        <v>9780205846894</v>
      </c>
      <c r="D249" t="str">
        <f>"9781315508320"</f>
        <v>9781315508320</v>
      </c>
      <c r="E249" s="1">
        <v>42627</v>
      </c>
      <c r="F249" s="1">
        <v>42633</v>
      </c>
      <c r="G249" t="s">
        <v>644</v>
      </c>
      <c r="H249" t="s">
        <v>30</v>
      </c>
      <c r="I249" t="s">
        <v>645</v>
      </c>
      <c r="J249" t="s">
        <v>646</v>
      </c>
      <c r="K249" t="s">
        <v>647</v>
      </c>
      <c r="L249" t="s">
        <v>38</v>
      </c>
      <c r="M249" t="s">
        <v>39</v>
      </c>
      <c r="N249" t="s">
        <v>40</v>
      </c>
      <c r="O249" t="s">
        <v>40</v>
      </c>
      <c r="P249" t="s">
        <v>39</v>
      </c>
      <c r="Q249" t="s">
        <v>39</v>
      </c>
      <c r="R249" t="s">
        <v>40</v>
      </c>
      <c r="S249" t="s">
        <v>39</v>
      </c>
      <c r="T249" t="s">
        <v>40</v>
      </c>
      <c r="U249" t="s">
        <v>648</v>
      </c>
    </row>
    <row r="250" spans="1:21" x14ac:dyDescent="0.25">
      <c r="A250">
        <v>4809709</v>
      </c>
      <c r="B250" t="s">
        <v>664</v>
      </c>
      <c r="C250" t="str">
        <f>"9781138778702"</f>
        <v>9781138778702</v>
      </c>
      <c r="D250" t="str">
        <f>"9781317237921"</f>
        <v>9781317237921</v>
      </c>
      <c r="E250" s="1">
        <v>42796</v>
      </c>
      <c r="F250" s="1">
        <v>42784</v>
      </c>
      <c r="G250" t="s">
        <v>665</v>
      </c>
      <c r="H250" t="s">
        <v>30</v>
      </c>
      <c r="I250" t="s">
        <v>666</v>
      </c>
      <c r="J250" s="2">
        <v>951901</v>
      </c>
      <c r="K250" t="s">
        <v>667</v>
      </c>
      <c r="L250" t="s">
        <v>38</v>
      </c>
      <c r="M250" t="s">
        <v>39</v>
      </c>
      <c r="N250" t="s">
        <v>40</v>
      </c>
      <c r="O250" t="s">
        <v>40</v>
      </c>
      <c r="P250" t="s">
        <v>39</v>
      </c>
      <c r="Q250" t="s">
        <v>39</v>
      </c>
      <c r="R250" t="s">
        <v>40</v>
      </c>
      <c r="S250" t="s">
        <v>39</v>
      </c>
      <c r="T250" t="s">
        <v>40</v>
      </c>
      <c r="U250" t="s">
        <v>668</v>
      </c>
    </row>
    <row r="251" spans="1:21" x14ac:dyDescent="0.25">
      <c r="A251">
        <v>4845355</v>
      </c>
      <c r="B251" t="s">
        <v>669</v>
      </c>
      <c r="C251" t="str">
        <f>"9781138643482"</f>
        <v>9781138643482</v>
      </c>
      <c r="D251" t="str">
        <f>"9781351807456"</f>
        <v>9781351807456</v>
      </c>
      <c r="E251" s="1">
        <v>42838</v>
      </c>
      <c r="F251" s="1">
        <v>42850</v>
      </c>
      <c r="G251" t="s">
        <v>670</v>
      </c>
      <c r="H251" t="s">
        <v>30</v>
      </c>
      <c r="I251" t="s">
        <v>671</v>
      </c>
      <c r="J251" t="s">
        <v>672</v>
      </c>
      <c r="K251" t="s">
        <v>673</v>
      </c>
      <c r="L251" t="s">
        <v>38</v>
      </c>
      <c r="M251" t="s">
        <v>39</v>
      </c>
      <c r="N251" t="s">
        <v>40</v>
      </c>
      <c r="O251" t="s">
        <v>40</v>
      </c>
      <c r="P251" t="s">
        <v>39</v>
      </c>
      <c r="Q251" t="s">
        <v>39</v>
      </c>
      <c r="R251" t="s">
        <v>40</v>
      </c>
      <c r="S251" t="s">
        <v>39</v>
      </c>
      <c r="T251" t="s">
        <v>40</v>
      </c>
      <c r="U251" t="s">
        <v>674</v>
      </c>
    </row>
    <row r="252" spans="1:21" x14ac:dyDescent="0.25">
      <c r="A252">
        <v>4898763</v>
      </c>
      <c r="B252" t="s">
        <v>683</v>
      </c>
      <c r="C252" t="str">
        <f>"9781412865258"</f>
        <v>9781412865258</v>
      </c>
      <c r="D252" t="str">
        <f>"9781351627184"</f>
        <v>9781351627184</v>
      </c>
      <c r="E252" s="1">
        <v>42899</v>
      </c>
      <c r="F252" s="1">
        <v>42925</v>
      </c>
      <c r="G252" t="s">
        <v>684</v>
      </c>
      <c r="H252" t="s">
        <v>30</v>
      </c>
      <c r="I252" t="s">
        <v>685</v>
      </c>
      <c r="J252" t="s">
        <v>686</v>
      </c>
      <c r="K252" t="s">
        <v>687</v>
      </c>
      <c r="L252" t="s">
        <v>38</v>
      </c>
      <c r="M252" t="s">
        <v>39</v>
      </c>
      <c r="N252" t="s">
        <v>40</v>
      </c>
      <c r="O252" t="s">
        <v>40</v>
      </c>
      <c r="P252" t="s">
        <v>39</v>
      </c>
      <c r="Q252" t="s">
        <v>39</v>
      </c>
      <c r="R252" t="s">
        <v>40</v>
      </c>
      <c r="S252" t="s">
        <v>39</v>
      </c>
      <c r="T252" t="s">
        <v>40</v>
      </c>
      <c r="U252" t="s">
        <v>688</v>
      </c>
    </row>
    <row r="253" spans="1:21" x14ac:dyDescent="0.25">
      <c r="A253">
        <v>4905776</v>
      </c>
      <c r="B253" t="s">
        <v>689</v>
      </c>
      <c r="C253" t="str">
        <f>"9781412809917"</f>
        <v>9781412809917</v>
      </c>
      <c r="D253" t="str">
        <f>"9781351477222"</f>
        <v>9781351477222</v>
      </c>
      <c r="E253" s="1">
        <v>40313</v>
      </c>
      <c r="F253" s="1">
        <v>42925</v>
      </c>
      <c r="G253" t="s">
        <v>690</v>
      </c>
      <c r="H253" t="s">
        <v>30</v>
      </c>
    </row>
    <row r="254" spans="1:21" x14ac:dyDescent="0.25">
      <c r="A254">
        <v>4906286</v>
      </c>
      <c r="B254" t="s">
        <v>696</v>
      </c>
      <c r="C254" t="str">
        <f>"9781412856737"</f>
        <v>9781412856737</v>
      </c>
      <c r="D254" t="str">
        <f>"9781351502788"</f>
        <v>9781351502788</v>
      </c>
      <c r="E254" s="1">
        <v>42215</v>
      </c>
      <c r="F254" s="1">
        <v>42925</v>
      </c>
      <c r="G254" t="s">
        <v>697</v>
      </c>
      <c r="H254" t="s">
        <v>30</v>
      </c>
      <c r="I254" t="s">
        <v>698</v>
      </c>
      <c r="J254" t="s">
        <v>699</v>
      </c>
      <c r="K254" t="s">
        <v>700</v>
      </c>
      <c r="L254" t="s">
        <v>38</v>
      </c>
      <c r="M254" t="s">
        <v>39</v>
      </c>
      <c r="N254" t="s">
        <v>40</v>
      </c>
      <c r="O254" t="s">
        <v>40</v>
      </c>
      <c r="P254" t="s">
        <v>39</v>
      </c>
      <c r="Q254" t="s">
        <v>39</v>
      </c>
      <c r="R254" t="s">
        <v>40</v>
      </c>
      <c r="S254" t="s">
        <v>39</v>
      </c>
      <c r="T254" t="s">
        <v>40</v>
      </c>
      <c r="U254" t="s">
        <v>701</v>
      </c>
    </row>
    <row r="255" spans="1:21" x14ac:dyDescent="0.25">
      <c r="A255">
        <v>4906298</v>
      </c>
      <c r="B255" t="s">
        <v>702</v>
      </c>
      <c r="C255" t="str">
        <f>"9781412810708"</f>
        <v>9781412810708</v>
      </c>
      <c r="D255" t="str">
        <f>"9781351510134"</f>
        <v>9781351510134</v>
      </c>
      <c r="E255" s="1">
        <v>40162</v>
      </c>
      <c r="F255" s="1">
        <v>42925</v>
      </c>
      <c r="G255" t="s">
        <v>703</v>
      </c>
      <c r="H255" t="s">
        <v>30</v>
      </c>
      <c r="I255">
        <v>2009042439</v>
      </c>
      <c r="J255" t="s">
        <v>704</v>
      </c>
      <c r="K255" t="s">
        <v>705</v>
      </c>
      <c r="L255" t="s">
        <v>38</v>
      </c>
      <c r="M255" t="s">
        <v>39</v>
      </c>
      <c r="N255" t="s">
        <v>40</v>
      </c>
      <c r="O255" t="s">
        <v>40</v>
      </c>
      <c r="P255" t="s">
        <v>39</v>
      </c>
      <c r="Q255" t="s">
        <v>39</v>
      </c>
      <c r="R255" t="s">
        <v>40</v>
      </c>
      <c r="S255" t="s">
        <v>39</v>
      </c>
      <c r="T255" t="s">
        <v>40</v>
      </c>
      <c r="U255" t="s">
        <v>706</v>
      </c>
    </row>
    <row r="256" spans="1:21" x14ac:dyDescent="0.25">
      <c r="A256">
        <v>4925469</v>
      </c>
      <c r="B256" t="s">
        <v>707</v>
      </c>
      <c r="C256" t="str">
        <f>"9781412846202"</f>
        <v>9781412846202</v>
      </c>
      <c r="D256" t="str">
        <f>"9781351376594"</f>
        <v>9781351376594</v>
      </c>
      <c r="E256" s="1">
        <v>41424</v>
      </c>
      <c r="F256" s="1">
        <v>42997</v>
      </c>
      <c r="G256" t="s">
        <v>708</v>
      </c>
      <c r="H256" t="s">
        <v>30</v>
      </c>
      <c r="I256" t="s">
        <v>709</v>
      </c>
      <c r="J256" t="s">
        <v>710</v>
      </c>
      <c r="K256" t="s">
        <v>711</v>
      </c>
      <c r="L256" t="s">
        <v>38</v>
      </c>
      <c r="M256" t="s">
        <v>39</v>
      </c>
      <c r="N256" t="s">
        <v>40</v>
      </c>
      <c r="O256" t="s">
        <v>40</v>
      </c>
      <c r="P256" t="s">
        <v>39</v>
      </c>
      <c r="Q256" t="s">
        <v>39</v>
      </c>
      <c r="R256" t="s">
        <v>40</v>
      </c>
      <c r="S256" t="s">
        <v>39</v>
      </c>
      <c r="T256" t="s">
        <v>40</v>
      </c>
      <c r="U256" t="s">
        <v>712</v>
      </c>
    </row>
    <row r="257" spans="1:21" x14ac:dyDescent="0.25">
      <c r="A257">
        <v>4941612</v>
      </c>
      <c r="B257" t="s">
        <v>713</v>
      </c>
      <c r="C257" t="str">
        <f>"9781412865579"</f>
        <v>9781412865579</v>
      </c>
      <c r="D257" t="str">
        <f>"9781351624329"</f>
        <v>9781351624329</v>
      </c>
      <c r="E257" s="1">
        <v>42972</v>
      </c>
      <c r="F257" s="1">
        <v>42956</v>
      </c>
      <c r="G257" t="s">
        <v>714</v>
      </c>
      <c r="H257" t="s">
        <v>30</v>
      </c>
      <c r="I257" t="s">
        <v>715</v>
      </c>
      <c r="J257" s="2">
        <v>9405426693</v>
      </c>
      <c r="K257" t="s">
        <v>716</v>
      </c>
      <c r="L257" t="s">
        <v>38</v>
      </c>
      <c r="M257" t="s">
        <v>39</v>
      </c>
      <c r="N257" t="s">
        <v>40</v>
      </c>
      <c r="O257" t="s">
        <v>40</v>
      </c>
      <c r="P257" t="s">
        <v>39</v>
      </c>
      <c r="Q257" t="s">
        <v>39</v>
      </c>
      <c r="R257" t="s">
        <v>40</v>
      </c>
      <c r="S257" t="s">
        <v>39</v>
      </c>
      <c r="T257" t="s">
        <v>40</v>
      </c>
      <c r="U257" t="s">
        <v>717</v>
      </c>
    </row>
    <row r="258" spans="1:21" x14ac:dyDescent="0.25">
      <c r="A258">
        <v>5042409</v>
      </c>
      <c r="B258" t="s">
        <v>718</v>
      </c>
      <c r="C258" t="str">
        <f>"9781138510562"</f>
        <v>9781138510562</v>
      </c>
      <c r="D258" t="str">
        <f>"9781351516181"</f>
        <v>9781351516181</v>
      </c>
      <c r="E258" s="1">
        <v>41820</v>
      </c>
      <c r="F258" s="1">
        <v>42987</v>
      </c>
      <c r="G258" t="s">
        <v>719</v>
      </c>
      <c r="H258" t="s">
        <v>30</v>
      </c>
    </row>
    <row r="259" spans="1:21" x14ac:dyDescent="0.25">
      <c r="A259">
        <v>5164146</v>
      </c>
      <c r="B259" t="s">
        <v>730</v>
      </c>
      <c r="C259" t="str">
        <f>"9780815397441"</f>
        <v>9780815397441</v>
      </c>
      <c r="D259" t="str">
        <f>"9781351147798"</f>
        <v>9781351147798</v>
      </c>
      <c r="E259" s="1">
        <v>43068</v>
      </c>
      <c r="F259" s="1">
        <v>43120</v>
      </c>
      <c r="G259" t="s">
        <v>731</v>
      </c>
      <c r="H259" t="s">
        <v>30</v>
      </c>
      <c r="I259" t="s">
        <v>732</v>
      </c>
      <c r="K259" t="s">
        <v>733</v>
      </c>
      <c r="L259" t="s">
        <v>38</v>
      </c>
      <c r="M259" t="s">
        <v>39</v>
      </c>
      <c r="N259" t="s">
        <v>40</v>
      </c>
      <c r="O259" t="s">
        <v>40</v>
      </c>
      <c r="P259" t="s">
        <v>39</v>
      </c>
      <c r="Q259" t="s">
        <v>39</v>
      </c>
      <c r="R259" t="s">
        <v>40</v>
      </c>
      <c r="S259" t="s">
        <v>39</v>
      </c>
      <c r="T259" t="s">
        <v>40</v>
      </c>
      <c r="U259" t="s">
        <v>734</v>
      </c>
    </row>
    <row r="260" spans="1:21" x14ac:dyDescent="0.25">
      <c r="A260">
        <v>5254476</v>
      </c>
      <c r="B260" t="s">
        <v>739</v>
      </c>
      <c r="C260" t="str">
        <f>"9780813348377"</f>
        <v>9780813348377</v>
      </c>
      <c r="D260" t="str">
        <f>"9780429961625"</f>
        <v>9780429961625</v>
      </c>
      <c r="E260" s="1">
        <v>41244</v>
      </c>
      <c r="F260" s="1">
        <v>43132</v>
      </c>
      <c r="G260" t="s">
        <v>740</v>
      </c>
      <c r="H260" t="s">
        <v>30</v>
      </c>
      <c r="I260" t="s">
        <v>741</v>
      </c>
      <c r="J260">
        <v>959</v>
      </c>
      <c r="K260" t="s">
        <v>742</v>
      </c>
      <c r="L260" t="s">
        <v>38</v>
      </c>
      <c r="M260" t="s">
        <v>39</v>
      </c>
      <c r="N260" t="s">
        <v>40</v>
      </c>
      <c r="O260" t="s">
        <v>40</v>
      </c>
      <c r="P260" t="s">
        <v>39</v>
      </c>
      <c r="Q260" t="s">
        <v>39</v>
      </c>
      <c r="R260" t="s">
        <v>40</v>
      </c>
      <c r="S260" t="s">
        <v>39</v>
      </c>
      <c r="T260" t="s">
        <v>40</v>
      </c>
      <c r="U260" t="s">
        <v>743</v>
      </c>
    </row>
    <row r="261" spans="1:21" x14ac:dyDescent="0.25">
      <c r="A261">
        <v>5295106</v>
      </c>
      <c r="B261" t="s">
        <v>744</v>
      </c>
      <c r="C261" t="str">
        <f>"9780813340432"</f>
        <v>9780813340432</v>
      </c>
      <c r="D261" t="str">
        <f>"9780429975905"</f>
        <v>9780429975905</v>
      </c>
      <c r="E261" s="1">
        <v>37658</v>
      </c>
      <c r="F261" s="1">
        <v>43147</v>
      </c>
      <c r="G261" t="s">
        <v>745</v>
      </c>
      <c r="H261" t="s">
        <v>30</v>
      </c>
      <c r="I261" t="s">
        <v>746</v>
      </c>
      <c r="J261">
        <v>972</v>
      </c>
      <c r="K261" t="s">
        <v>747</v>
      </c>
      <c r="L261" t="s">
        <v>38</v>
      </c>
      <c r="M261" t="s">
        <v>39</v>
      </c>
      <c r="N261" t="s">
        <v>40</v>
      </c>
      <c r="O261" t="s">
        <v>40</v>
      </c>
      <c r="P261" t="s">
        <v>39</v>
      </c>
      <c r="Q261" t="s">
        <v>39</v>
      </c>
      <c r="R261" t="s">
        <v>40</v>
      </c>
      <c r="S261" t="s">
        <v>39</v>
      </c>
      <c r="T261" t="s">
        <v>40</v>
      </c>
      <c r="U261" t="s">
        <v>748</v>
      </c>
    </row>
    <row r="262" spans="1:21" x14ac:dyDescent="0.25">
      <c r="A262">
        <v>5323455</v>
      </c>
      <c r="B262" t="s">
        <v>749</v>
      </c>
      <c r="C262" t="str">
        <f>"9780813346946"</f>
        <v>9780813346946</v>
      </c>
      <c r="D262" t="str">
        <f>"9780429963520"</f>
        <v>9780429963520</v>
      </c>
      <c r="E262" s="1">
        <v>41121</v>
      </c>
      <c r="F262" s="1">
        <v>43177</v>
      </c>
      <c r="G262" t="s">
        <v>750</v>
      </c>
      <c r="H262" t="s">
        <v>30</v>
      </c>
      <c r="I262" t="s">
        <v>751</v>
      </c>
      <c r="J262" t="s">
        <v>752</v>
      </c>
      <c r="K262" t="s">
        <v>753</v>
      </c>
      <c r="L262" t="s">
        <v>38</v>
      </c>
      <c r="M262" t="s">
        <v>39</v>
      </c>
      <c r="N262" t="s">
        <v>40</v>
      </c>
      <c r="O262" t="s">
        <v>40</v>
      </c>
      <c r="P262" t="s">
        <v>39</v>
      </c>
      <c r="Q262" t="s">
        <v>39</v>
      </c>
      <c r="R262" t="s">
        <v>40</v>
      </c>
      <c r="S262" t="s">
        <v>39</v>
      </c>
      <c r="T262" t="s">
        <v>40</v>
      </c>
      <c r="U262" t="s">
        <v>754</v>
      </c>
    </row>
    <row r="263" spans="1:21" x14ac:dyDescent="0.25">
      <c r="A263">
        <v>5351937</v>
      </c>
      <c r="B263" t="s">
        <v>759</v>
      </c>
      <c r="C263" t="str">
        <f>"9780813349657"</f>
        <v>9780813349657</v>
      </c>
      <c r="D263" t="str">
        <f>"9780429974441"</f>
        <v>9780429974441</v>
      </c>
      <c r="E263" s="1">
        <v>41975</v>
      </c>
      <c r="F263" s="1">
        <v>43210</v>
      </c>
      <c r="G263" t="s">
        <v>750</v>
      </c>
      <c r="H263" t="s">
        <v>30</v>
      </c>
      <c r="I263" t="s">
        <v>760</v>
      </c>
      <c r="J263">
        <v>952</v>
      </c>
      <c r="K263" t="s">
        <v>761</v>
      </c>
      <c r="L263" t="s">
        <v>38</v>
      </c>
      <c r="M263" t="s">
        <v>39</v>
      </c>
      <c r="N263" t="s">
        <v>40</v>
      </c>
      <c r="O263" t="s">
        <v>40</v>
      </c>
      <c r="P263" t="s">
        <v>39</v>
      </c>
      <c r="Q263" t="s">
        <v>39</v>
      </c>
      <c r="R263" t="s">
        <v>40</v>
      </c>
      <c r="S263" t="s">
        <v>39</v>
      </c>
      <c r="T263" t="s">
        <v>40</v>
      </c>
      <c r="U263" t="s">
        <v>762</v>
      </c>
    </row>
    <row r="264" spans="1:21" x14ac:dyDescent="0.25">
      <c r="A264">
        <v>5358406</v>
      </c>
      <c r="B264" t="s">
        <v>765</v>
      </c>
      <c r="C264" t="str">
        <f>"9780813346670"</f>
        <v>9780813346670</v>
      </c>
      <c r="D264" t="str">
        <f>"9780429974526"</f>
        <v>9780429974526</v>
      </c>
      <c r="E264" s="1">
        <v>41485</v>
      </c>
      <c r="F264" s="1">
        <v>43217</v>
      </c>
      <c r="G264" t="s">
        <v>766</v>
      </c>
      <c r="H264" t="s">
        <v>30</v>
      </c>
      <c r="I264" t="s">
        <v>767</v>
      </c>
      <c r="J264" t="s">
        <v>768</v>
      </c>
      <c r="K264" t="s">
        <v>769</v>
      </c>
    </row>
    <row r="265" spans="1:21" x14ac:dyDescent="0.25">
      <c r="A265">
        <v>5359087</v>
      </c>
      <c r="B265" t="s">
        <v>772</v>
      </c>
      <c r="C265" t="str">
        <f>"9780813348919"</f>
        <v>9780813348919</v>
      </c>
      <c r="D265" t="str">
        <f>"9780429962127"</f>
        <v>9780429962127</v>
      </c>
      <c r="E265" s="1">
        <v>42186</v>
      </c>
      <c r="F265" s="1">
        <v>43218</v>
      </c>
      <c r="G265" t="s">
        <v>773</v>
      </c>
      <c r="H265" t="s">
        <v>30</v>
      </c>
      <c r="I265" t="s">
        <v>774</v>
      </c>
      <c r="J265">
        <v>980</v>
      </c>
      <c r="K265" t="s">
        <v>775</v>
      </c>
    </row>
    <row r="266" spans="1:21" x14ac:dyDescent="0.25">
      <c r="A266">
        <v>5372119</v>
      </c>
      <c r="B266" t="s">
        <v>776</v>
      </c>
      <c r="C266" t="str">
        <f>"9780813350141"</f>
        <v>9780813350141</v>
      </c>
      <c r="D266" t="str">
        <f>"9780429961984"</f>
        <v>9780429961984</v>
      </c>
      <c r="E266" s="1">
        <v>42339</v>
      </c>
      <c r="F266" s="1">
        <v>43219</v>
      </c>
      <c r="G266" t="s">
        <v>750</v>
      </c>
      <c r="H266" t="s">
        <v>30</v>
      </c>
      <c r="I266" t="s">
        <v>777</v>
      </c>
      <c r="J266" t="s">
        <v>778</v>
      </c>
      <c r="K266" t="s">
        <v>753</v>
      </c>
      <c r="L266" t="s">
        <v>38</v>
      </c>
      <c r="M266" t="s">
        <v>39</v>
      </c>
      <c r="N266" t="s">
        <v>40</v>
      </c>
      <c r="O266" t="s">
        <v>40</v>
      </c>
      <c r="P266" t="s">
        <v>39</v>
      </c>
      <c r="Q266" t="s">
        <v>39</v>
      </c>
      <c r="R266" t="s">
        <v>40</v>
      </c>
      <c r="S266" t="s">
        <v>39</v>
      </c>
      <c r="T266" t="s">
        <v>40</v>
      </c>
      <c r="U266" t="s">
        <v>779</v>
      </c>
    </row>
    <row r="267" spans="1:21" x14ac:dyDescent="0.25">
      <c r="A267">
        <v>5433141</v>
      </c>
      <c r="B267" t="s">
        <v>801</v>
      </c>
      <c r="C267" t="str">
        <f>"9780813350165"</f>
        <v>9780813350165</v>
      </c>
      <c r="D267" t="str">
        <f>"9780429972683"</f>
        <v>9780429972683</v>
      </c>
      <c r="E267" s="1">
        <v>42339</v>
      </c>
      <c r="F267" s="1">
        <v>43273</v>
      </c>
      <c r="G267" t="s">
        <v>740</v>
      </c>
      <c r="H267" t="s">
        <v>30</v>
      </c>
      <c r="I267" t="s">
        <v>802</v>
      </c>
      <c r="J267">
        <v>959</v>
      </c>
      <c r="K267" t="s">
        <v>803</v>
      </c>
      <c r="L267" t="s">
        <v>38</v>
      </c>
      <c r="M267" t="s">
        <v>39</v>
      </c>
      <c r="N267" t="s">
        <v>40</v>
      </c>
      <c r="O267" t="s">
        <v>40</v>
      </c>
      <c r="P267" t="s">
        <v>39</v>
      </c>
      <c r="Q267" t="s">
        <v>39</v>
      </c>
      <c r="R267" t="s">
        <v>40</v>
      </c>
      <c r="S267" t="s">
        <v>39</v>
      </c>
      <c r="T267" t="s">
        <v>40</v>
      </c>
      <c r="U267" t="s">
        <v>804</v>
      </c>
    </row>
    <row r="268" spans="1:21" x14ac:dyDescent="0.25">
      <c r="A268">
        <v>5437097</v>
      </c>
      <c r="B268" t="s">
        <v>805</v>
      </c>
      <c r="C268" t="str">
        <f>"9781138649446"</f>
        <v>9781138649446</v>
      </c>
      <c r="D268" t="str">
        <f>"9780429996412"</f>
        <v>9780429996412</v>
      </c>
      <c r="E268" s="1">
        <v>43276</v>
      </c>
      <c r="F268" s="1">
        <v>43280</v>
      </c>
      <c r="G268" t="s">
        <v>806</v>
      </c>
      <c r="H268" t="s">
        <v>30</v>
      </c>
      <c r="I268" t="s">
        <v>807</v>
      </c>
      <c r="J268" t="s">
        <v>808</v>
      </c>
      <c r="K268" t="s">
        <v>809</v>
      </c>
      <c r="L268" t="s">
        <v>38</v>
      </c>
      <c r="M268" t="s">
        <v>39</v>
      </c>
      <c r="N268" t="s">
        <v>40</v>
      </c>
      <c r="O268" t="s">
        <v>40</v>
      </c>
      <c r="P268" t="s">
        <v>39</v>
      </c>
      <c r="Q268" t="s">
        <v>39</v>
      </c>
      <c r="R268" t="s">
        <v>40</v>
      </c>
      <c r="S268" t="s">
        <v>39</v>
      </c>
      <c r="T268" t="s">
        <v>40</v>
      </c>
      <c r="U268" t="s">
        <v>810</v>
      </c>
    </row>
    <row r="269" spans="1:21" x14ac:dyDescent="0.25">
      <c r="A269">
        <v>5543960</v>
      </c>
      <c r="B269" t="s">
        <v>813</v>
      </c>
      <c r="C269" t="str">
        <f>"9781138193611"</f>
        <v>9781138193611</v>
      </c>
      <c r="D269" t="str">
        <f>"9780429859182"</f>
        <v>9780429859182</v>
      </c>
      <c r="E269" s="1">
        <v>43370</v>
      </c>
      <c r="F269" s="1">
        <v>43383</v>
      </c>
      <c r="G269" t="s">
        <v>814</v>
      </c>
      <c r="H269" t="s">
        <v>30</v>
      </c>
    </row>
    <row r="270" spans="1:21" x14ac:dyDescent="0.25">
      <c r="A270">
        <v>5778309</v>
      </c>
      <c r="B270" t="s">
        <v>840</v>
      </c>
      <c r="C270" t="str">
        <f>"9780813339429"</f>
        <v>9780813339429</v>
      </c>
      <c r="D270" t="str">
        <f>"9780429971310"</f>
        <v>9780429971310</v>
      </c>
      <c r="E270" s="1">
        <v>37104</v>
      </c>
      <c r="F270" s="1">
        <v>43608</v>
      </c>
      <c r="G270" t="s">
        <v>841</v>
      </c>
      <c r="H270" t="s">
        <v>30</v>
      </c>
      <c r="I270" t="s">
        <v>842</v>
      </c>
      <c r="J270" t="s">
        <v>699</v>
      </c>
      <c r="K270" t="s">
        <v>843</v>
      </c>
      <c r="L270" t="s">
        <v>38</v>
      </c>
      <c r="M270" t="s">
        <v>39</v>
      </c>
      <c r="N270" t="s">
        <v>40</v>
      </c>
      <c r="O270" t="s">
        <v>40</v>
      </c>
      <c r="P270" t="s">
        <v>39</v>
      </c>
      <c r="Q270" t="s">
        <v>39</v>
      </c>
      <c r="R270" t="s">
        <v>40</v>
      </c>
      <c r="S270" t="s">
        <v>39</v>
      </c>
      <c r="T270" t="s">
        <v>40</v>
      </c>
      <c r="U270" t="s">
        <v>844</v>
      </c>
    </row>
    <row r="271" spans="1:21" x14ac:dyDescent="0.25">
      <c r="A271">
        <v>5798249</v>
      </c>
      <c r="B271" t="s">
        <v>849</v>
      </c>
      <c r="C271" t="str">
        <f>"9780367311742"</f>
        <v>9780367311742</v>
      </c>
      <c r="D271" t="str">
        <f>"9781000234138"</f>
        <v>9781000234138</v>
      </c>
      <c r="E271" s="1">
        <v>44158</v>
      </c>
      <c r="F271" s="1">
        <v>43643</v>
      </c>
      <c r="G271" t="s">
        <v>850</v>
      </c>
      <c r="H271" t="s">
        <v>30</v>
      </c>
    </row>
    <row r="272" spans="1:21" x14ac:dyDescent="0.25">
      <c r="A272">
        <v>5825473</v>
      </c>
      <c r="B272" t="s">
        <v>855</v>
      </c>
      <c r="C272" t="str">
        <f>"9780367296971"</f>
        <v>9780367296971</v>
      </c>
      <c r="D272" t="str">
        <f>"9781000234909"</f>
        <v>9781000234909</v>
      </c>
      <c r="E272" s="1">
        <v>43721</v>
      </c>
      <c r="F272" s="1">
        <v>43660</v>
      </c>
      <c r="G272" t="s">
        <v>856</v>
      </c>
      <c r="H272" t="s">
        <v>30</v>
      </c>
    </row>
    <row r="273" spans="1:21" x14ac:dyDescent="0.25">
      <c r="A273">
        <v>5825520</v>
      </c>
      <c r="B273" t="s">
        <v>859</v>
      </c>
      <c r="C273" t="str">
        <f>"9780367311148"</f>
        <v>9780367311148</v>
      </c>
      <c r="D273" t="str">
        <f>"9781000233469"</f>
        <v>9781000233469</v>
      </c>
      <c r="E273" s="1">
        <v>43721</v>
      </c>
      <c r="F273" s="1">
        <v>43660</v>
      </c>
      <c r="G273" t="s">
        <v>860</v>
      </c>
      <c r="H273" t="s">
        <v>30</v>
      </c>
    </row>
    <row r="274" spans="1:21" x14ac:dyDescent="0.25">
      <c r="A274">
        <v>5829430</v>
      </c>
      <c r="B274" t="s">
        <v>867</v>
      </c>
      <c r="C274" t="str">
        <f>"9780367163518"</f>
        <v>9780367163518</v>
      </c>
      <c r="D274" t="str">
        <f>"9780429701894"</f>
        <v>9780429701894</v>
      </c>
      <c r="E274" s="1">
        <v>43740</v>
      </c>
      <c r="F274" s="1">
        <v>43663</v>
      </c>
      <c r="G274" t="s">
        <v>868</v>
      </c>
      <c r="H274" t="s">
        <v>30</v>
      </c>
      <c r="I274" t="s">
        <v>869</v>
      </c>
      <c r="J274" s="2">
        <v>9470854</v>
      </c>
      <c r="K274" t="s">
        <v>870</v>
      </c>
    </row>
    <row r="275" spans="1:21" x14ac:dyDescent="0.25">
      <c r="A275">
        <v>5829509</v>
      </c>
      <c r="B275" t="s">
        <v>871</v>
      </c>
      <c r="C275" t="str">
        <f>"9780367163976"</f>
        <v>9780367163976</v>
      </c>
      <c r="D275" t="str">
        <f>"9780429692741"</f>
        <v>9780429692741</v>
      </c>
      <c r="E275" s="1">
        <v>43949</v>
      </c>
      <c r="F275" s="1">
        <v>43663</v>
      </c>
      <c r="G275" t="s">
        <v>872</v>
      </c>
      <c r="H275" t="s">
        <v>30</v>
      </c>
      <c r="I275" t="s">
        <v>873</v>
      </c>
      <c r="J275" t="s">
        <v>874</v>
      </c>
      <c r="K275" t="s">
        <v>875</v>
      </c>
      <c r="L275" t="s">
        <v>38</v>
      </c>
      <c r="M275" t="s">
        <v>39</v>
      </c>
      <c r="N275" t="s">
        <v>40</v>
      </c>
      <c r="O275" t="s">
        <v>40</v>
      </c>
      <c r="P275" t="s">
        <v>39</v>
      </c>
      <c r="Q275" t="s">
        <v>39</v>
      </c>
      <c r="R275" t="s">
        <v>40</v>
      </c>
      <c r="S275" t="s">
        <v>39</v>
      </c>
      <c r="T275" t="s">
        <v>40</v>
      </c>
      <c r="U275" t="s">
        <v>876</v>
      </c>
    </row>
    <row r="276" spans="1:21" x14ac:dyDescent="0.25">
      <c r="A276">
        <v>5829518</v>
      </c>
      <c r="B276" t="s">
        <v>877</v>
      </c>
      <c r="C276" t="str">
        <f>"9780367159672"</f>
        <v>9780367159672</v>
      </c>
      <c r="D276" t="str">
        <f>"9780429692239"</f>
        <v>9780429692239</v>
      </c>
      <c r="E276" s="1">
        <v>43626</v>
      </c>
      <c r="F276" s="1">
        <v>43663</v>
      </c>
      <c r="G276" t="s">
        <v>878</v>
      </c>
      <c r="H276" t="s">
        <v>30</v>
      </c>
      <c r="I276" t="s">
        <v>879</v>
      </c>
      <c r="J276" t="s">
        <v>880</v>
      </c>
      <c r="K276" t="s">
        <v>881</v>
      </c>
      <c r="L276" t="s">
        <v>38</v>
      </c>
      <c r="M276" t="s">
        <v>39</v>
      </c>
      <c r="N276" t="s">
        <v>40</v>
      </c>
      <c r="O276" t="s">
        <v>40</v>
      </c>
      <c r="P276" t="s">
        <v>39</v>
      </c>
      <c r="Q276" t="s">
        <v>39</v>
      </c>
      <c r="R276" t="s">
        <v>40</v>
      </c>
      <c r="S276" t="s">
        <v>39</v>
      </c>
      <c r="T276" t="s">
        <v>40</v>
      </c>
      <c r="U276" t="s">
        <v>882</v>
      </c>
    </row>
    <row r="277" spans="1:21" x14ac:dyDescent="0.25">
      <c r="A277">
        <v>5836214</v>
      </c>
      <c r="B277" t="s">
        <v>883</v>
      </c>
      <c r="C277" t="str">
        <f>"9780367022303"</f>
        <v>9780367022303</v>
      </c>
      <c r="D277" t="str">
        <f>"9780429708435"</f>
        <v>9780429708435</v>
      </c>
      <c r="E277" s="1">
        <v>43949</v>
      </c>
      <c r="F277" s="1">
        <v>43669</v>
      </c>
      <c r="G277" t="s">
        <v>884</v>
      </c>
      <c r="H277" t="s">
        <v>30</v>
      </c>
      <c r="I277" t="s">
        <v>885</v>
      </c>
      <c r="J277" t="s">
        <v>886</v>
      </c>
      <c r="K277" t="s">
        <v>887</v>
      </c>
      <c r="L277" t="s">
        <v>38</v>
      </c>
      <c r="M277" t="s">
        <v>39</v>
      </c>
      <c r="N277" t="s">
        <v>40</v>
      </c>
      <c r="O277" t="s">
        <v>40</v>
      </c>
      <c r="P277" t="s">
        <v>39</v>
      </c>
      <c r="Q277" t="s">
        <v>39</v>
      </c>
      <c r="R277" t="s">
        <v>40</v>
      </c>
      <c r="S277" t="s">
        <v>39</v>
      </c>
      <c r="T277" t="s">
        <v>40</v>
      </c>
      <c r="U277" t="s">
        <v>888</v>
      </c>
    </row>
    <row r="278" spans="1:21" x14ac:dyDescent="0.25">
      <c r="A278">
        <v>5836404</v>
      </c>
      <c r="B278" t="s">
        <v>889</v>
      </c>
      <c r="C278" t="str">
        <f>"9780367160265"</f>
        <v>9780367160265</v>
      </c>
      <c r="D278" t="str">
        <f>"9780429701047"</f>
        <v>9780429701047</v>
      </c>
      <c r="E278" s="1">
        <v>43626</v>
      </c>
      <c r="F278" s="1">
        <v>43669</v>
      </c>
      <c r="G278" t="s">
        <v>890</v>
      </c>
      <c r="H278" t="s">
        <v>30</v>
      </c>
    </row>
    <row r="279" spans="1:21" x14ac:dyDescent="0.25">
      <c r="A279">
        <v>5851686</v>
      </c>
      <c r="B279" t="s">
        <v>896</v>
      </c>
      <c r="C279" t="str">
        <f>"9780367285296"</f>
        <v>9780367285296</v>
      </c>
      <c r="D279" t="str">
        <f>"9781000237399"</f>
        <v>9781000237399</v>
      </c>
      <c r="E279" s="1">
        <v>43592</v>
      </c>
      <c r="F279" s="1">
        <v>43694</v>
      </c>
      <c r="G279" t="s">
        <v>897</v>
      </c>
      <c r="H279" t="s">
        <v>30</v>
      </c>
      <c r="I279" t="s">
        <v>898</v>
      </c>
      <c r="J279" s="2">
        <v>959704342</v>
      </c>
      <c r="K279" t="s">
        <v>899</v>
      </c>
      <c r="L279" t="s">
        <v>38</v>
      </c>
      <c r="M279" t="s">
        <v>39</v>
      </c>
      <c r="N279" t="s">
        <v>40</v>
      </c>
      <c r="O279" t="s">
        <v>40</v>
      </c>
      <c r="P279" t="s">
        <v>39</v>
      </c>
      <c r="Q279" t="s">
        <v>39</v>
      </c>
      <c r="R279" t="s">
        <v>40</v>
      </c>
      <c r="S279" t="s">
        <v>39</v>
      </c>
      <c r="T279" t="s">
        <v>40</v>
      </c>
      <c r="U279" t="s">
        <v>900</v>
      </c>
    </row>
    <row r="280" spans="1:21" x14ac:dyDescent="0.25">
      <c r="A280">
        <v>5884115</v>
      </c>
      <c r="B280" t="s">
        <v>903</v>
      </c>
      <c r="C280" t="str">
        <f>"9780367168568"</f>
        <v>9780367168568</v>
      </c>
      <c r="D280" t="str">
        <f>"9780429704499"</f>
        <v>9780429704499</v>
      </c>
      <c r="E280" s="1">
        <v>44865</v>
      </c>
      <c r="F280" s="1">
        <v>43706</v>
      </c>
      <c r="G280" t="s">
        <v>904</v>
      </c>
      <c r="H280" t="s">
        <v>30</v>
      </c>
      <c r="I280" t="s">
        <v>905</v>
      </c>
      <c r="J280" t="s">
        <v>345</v>
      </c>
      <c r="K280" t="s">
        <v>906</v>
      </c>
      <c r="L280" t="s">
        <v>38</v>
      </c>
      <c r="M280" t="s">
        <v>39</v>
      </c>
      <c r="N280" t="s">
        <v>40</v>
      </c>
      <c r="O280" t="s">
        <v>40</v>
      </c>
      <c r="P280" t="s">
        <v>39</v>
      </c>
      <c r="Q280" t="s">
        <v>39</v>
      </c>
      <c r="R280" t="s">
        <v>40</v>
      </c>
      <c r="S280" t="s">
        <v>39</v>
      </c>
      <c r="T280" t="s">
        <v>40</v>
      </c>
      <c r="U280" t="s">
        <v>907</v>
      </c>
    </row>
    <row r="281" spans="1:21" x14ac:dyDescent="0.25">
      <c r="A281">
        <v>5884146</v>
      </c>
      <c r="B281" t="s">
        <v>908</v>
      </c>
      <c r="C281" t="str">
        <f>"9780367158606"</f>
        <v>9780367158606</v>
      </c>
      <c r="D281" t="str">
        <f>"9780429691836"</f>
        <v>9780429691836</v>
      </c>
      <c r="E281" s="1">
        <v>43668</v>
      </c>
      <c r="F281" s="1">
        <v>43706</v>
      </c>
      <c r="G281" t="s">
        <v>909</v>
      </c>
      <c r="H281" t="s">
        <v>30</v>
      </c>
      <c r="I281" t="s">
        <v>910</v>
      </c>
      <c r="J281" s="2">
        <v>943155</v>
      </c>
      <c r="K281" t="s">
        <v>911</v>
      </c>
    </row>
    <row r="282" spans="1:21" x14ac:dyDescent="0.25">
      <c r="A282">
        <v>5896939</v>
      </c>
      <c r="B282" t="s">
        <v>930</v>
      </c>
      <c r="C282" t="str">
        <f>"9780367022983"</f>
        <v>9780367022983</v>
      </c>
      <c r="D282" t="str">
        <f>"9780429682537"</f>
        <v>9780429682537</v>
      </c>
      <c r="E282" s="1">
        <v>43620</v>
      </c>
      <c r="F282" s="1">
        <v>43724</v>
      </c>
      <c r="G282" t="s">
        <v>931</v>
      </c>
      <c r="H282" t="s">
        <v>30</v>
      </c>
      <c r="I282" t="s">
        <v>932</v>
      </c>
      <c r="J282" t="s">
        <v>933</v>
      </c>
      <c r="K282" t="s">
        <v>934</v>
      </c>
      <c r="L282" t="s">
        <v>38</v>
      </c>
      <c r="M282" t="s">
        <v>39</v>
      </c>
      <c r="N282" t="s">
        <v>40</v>
      </c>
      <c r="O282" t="s">
        <v>40</v>
      </c>
      <c r="P282" t="s">
        <v>39</v>
      </c>
      <c r="Q282" t="s">
        <v>39</v>
      </c>
      <c r="R282" t="s">
        <v>40</v>
      </c>
      <c r="S282" t="s">
        <v>39</v>
      </c>
      <c r="T282" t="s">
        <v>40</v>
      </c>
      <c r="U282" t="s">
        <v>935</v>
      </c>
    </row>
    <row r="283" spans="1:21" x14ac:dyDescent="0.25">
      <c r="A283">
        <v>5904945</v>
      </c>
      <c r="B283" t="s">
        <v>938</v>
      </c>
      <c r="C283" t="str">
        <f>"9780367318604"</f>
        <v>9780367318604</v>
      </c>
      <c r="D283" t="str">
        <f>"9780429964954"</f>
        <v>9780429964954</v>
      </c>
      <c r="E283" s="1">
        <v>40050</v>
      </c>
      <c r="F283" s="1">
        <v>43735</v>
      </c>
      <c r="G283" t="s">
        <v>939</v>
      </c>
      <c r="H283" t="s">
        <v>30</v>
      </c>
      <c r="I283" t="s">
        <v>940</v>
      </c>
      <c r="J283" t="s">
        <v>941</v>
      </c>
      <c r="K283" t="s">
        <v>942</v>
      </c>
      <c r="L283" t="s">
        <v>38</v>
      </c>
      <c r="M283" t="s">
        <v>39</v>
      </c>
      <c r="N283" t="s">
        <v>40</v>
      </c>
      <c r="O283" t="s">
        <v>40</v>
      </c>
      <c r="P283" t="s">
        <v>39</v>
      </c>
      <c r="Q283" t="s">
        <v>39</v>
      </c>
      <c r="R283" t="s">
        <v>40</v>
      </c>
      <c r="S283" t="s">
        <v>39</v>
      </c>
      <c r="T283" t="s">
        <v>40</v>
      </c>
      <c r="U283" t="s">
        <v>943</v>
      </c>
    </row>
    <row r="284" spans="1:21" x14ac:dyDescent="0.25">
      <c r="A284">
        <v>5904946</v>
      </c>
      <c r="B284" t="s">
        <v>944</v>
      </c>
      <c r="C284" t="str">
        <f>"9780813343525"</f>
        <v>9780813343525</v>
      </c>
      <c r="D284" t="str">
        <f>"9780429968426"</f>
        <v>9780429968426</v>
      </c>
      <c r="E284" s="1">
        <v>39301</v>
      </c>
      <c r="F284" s="1">
        <v>43735</v>
      </c>
      <c r="G284" t="s">
        <v>740</v>
      </c>
      <c r="H284" t="s">
        <v>30</v>
      </c>
      <c r="I284" t="s">
        <v>945</v>
      </c>
      <c r="J284">
        <v>954</v>
      </c>
      <c r="K284" t="s">
        <v>946</v>
      </c>
      <c r="L284" t="s">
        <v>38</v>
      </c>
      <c r="M284" t="s">
        <v>39</v>
      </c>
      <c r="N284" t="s">
        <v>40</v>
      </c>
      <c r="O284" t="s">
        <v>40</v>
      </c>
      <c r="P284" t="s">
        <v>39</v>
      </c>
      <c r="Q284" t="s">
        <v>39</v>
      </c>
      <c r="R284" t="s">
        <v>40</v>
      </c>
      <c r="S284" t="s">
        <v>39</v>
      </c>
      <c r="T284" t="s">
        <v>40</v>
      </c>
      <c r="U284" t="s">
        <v>947</v>
      </c>
    </row>
    <row r="285" spans="1:21" x14ac:dyDescent="0.25">
      <c r="A285">
        <v>5904960</v>
      </c>
      <c r="B285" t="s">
        <v>948</v>
      </c>
      <c r="C285" t="str">
        <f>"9780813343341"</f>
        <v>9780813343341</v>
      </c>
      <c r="D285" t="str">
        <f>"9780429967528"</f>
        <v>9780429967528</v>
      </c>
      <c r="E285" s="1">
        <v>40064</v>
      </c>
      <c r="F285" s="1">
        <v>43735</v>
      </c>
      <c r="G285" t="s">
        <v>949</v>
      </c>
      <c r="H285" t="s">
        <v>30</v>
      </c>
      <c r="I285" t="s">
        <v>950</v>
      </c>
      <c r="J285">
        <v>972</v>
      </c>
      <c r="K285" t="s">
        <v>951</v>
      </c>
      <c r="L285" t="s">
        <v>38</v>
      </c>
      <c r="M285" t="s">
        <v>39</v>
      </c>
      <c r="N285" t="s">
        <v>40</v>
      </c>
      <c r="O285" t="s">
        <v>40</v>
      </c>
      <c r="P285" t="s">
        <v>39</v>
      </c>
      <c r="Q285" t="s">
        <v>39</v>
      </c>
      <c r="R285" t="s">
        <v>40</v>
      </c>
      <c r="S285" t="s">
        <v>39</v>
      </c>
      <c r="T285" t="s">
        <v>40</v>
      </c>
      <c r="U285" t="s">
        <v>952</v>
      </c>
    </row>
    <row r="286" spans="1:21" x14ac:dyDescent="0.25">
      <c r="A286">
        <v>6036756</v>
      </c>
      <c r="B286" t="s">
        <v>975</v>
      </c>
      <c r="C286" t="str">
        <f>"9780415302128"</f>
        <v>9780415302128</v>
      </c>
      <c r="D286" t="str">
        <f>"9780429609435"</f>
        <v>9780429609435</v>
      </c>
      <c r="E286" s="1">
        <v>39433</v>
      </c>
      <c r="F286" s="1">
        <v>43867</v>
      </c>
      <c r="G286" t="s">
        <v>237</v>
      </c>
      <c r="H286" t="s">
        <v>30</v>
      </c>
      <c r="I286" t="s">
        <v>976</v>
      </c>
      <c r="J286" s="2">
        <v>942055</v>
      </c>
      <c r="K286" t="s">
        <v>977</v>
      </c>
      <c r="L286" t="s">
        <v>38</v>
      </c>
      <c r="M286" t="s">
        <v>39</v>
      </c>
      <c r="N286" t="s">
        <v>40</v>
      </c>
      <c r="O286" t="s">
        <v>40</v>
      </c>
      <c r="P286" t="s">
        <v>39</v>
      </c>
      <c r="Q286" t="s">
        <v>39</v>
      </c>
      <c r="R286" t="s">
        <v>40</v>
      </c>
      <c r="S286" t="s">
        <v>39</v>
      </c>
      <c r="T286" t="s">
        <v>40</v>
      </c>
      <c r="U286" t="s">
        <v>978</v>
      </c>
    </row>
    <row r="287" spans="1:21" x14ac:dyDescent="0.25">
      <c r="A287">
        <v>6145642</v>
      </c>
      <c r="B287" t="s">
        <v>979</v>
      </c>
      <c r="C287" t="str">
        <f>"9780415321679"</f>
        <v>9780415321679</v>
      </c>
      <c r="D287" t="str">
        <f>"9780429609411"</f>
        <v>9780429609411</v>
      </c>
      <c r="E287" s="1">
        <v>39402</v>
      </c>
      <c r="F287" s="1">
        <v>43919</v>
      </c>
      <c r="G287" t="s">
        <v>980</v>
      </c>
      <c r="H287" t="s">
        <v>30</v>
      </c>
      <c r="I287" t="s">
        <v>981</v>
      </c>
      <c r="J287" t="s">
        <v>982</v>
      </c>
      <c r="K287" t="s">
        <v>983</v>
      </c>
    </row>
    <row r="288" spans="1:21" x14ac:dyDescent="0.25">
      <c r="A288">
        <v>6146747</v>
      </c>
      <c r="B288" t="s">
        <v>984</v>
      </c>
      <c r="C288" t="str">
        <f>"9780415254540"</f>
        <v>9780415254540</v>
      </c>
      <c r="D288" t="str">
        <f>"9781136406539"</f>
        <v>9781136406539</v>
      </c>
      <c r="E288" s="1">
        <v>37937</v>
      </c>
      <c r="F288" s="1">
        <v>43919</v>
      </c>
      <c r="G288" t="s">
        <v>237</v>
      </c>
      <c r="H288" t="s">
        <v>30</v>
      </c>
      <c r="I288" t="s">
        <v>985</v>
      </c>
      <c r="J288" t="s">
        <v>986</v>
      </c>
      <c r="K288" t="s">
        <v>987</v>
      </c>
    </row>
    <row r="289" spans="1:21" x14ac:dyDescent="0.25">
      <c r="A289">
        <v>6320206</v>
      </c>
      <c r="B289" t="s">
        <v>1016</v>
      </c>
      <c r="C289" t="str">
        <f>"9781865082110"</f>
        <v>9781865082110</v>
      </c>
      <c r="D289" t="str">
        <f>"9781000319415"</f>
        <v>9781000319415</v>
      </c>
      <c r="E289" s="1">
        <v>36951</v>
      </c>
      <c r="F289" s="1">
        <v>44071</v>
      </c>
      <c r="G289" t="s">
        <v>1017</v>
      </c>
      <c r="H289" t="s">
        <v>30</v>
      </c>
    </row>
    <row r="290" spans="1:21" x14ac:dyDescent="0.25">
      <c r="A290">
        <v>6402845</v>
      </c>
      <c r="B290" t="s">
        <v>1021</v>
      </c>
      <c r="C290" t="str">
        <f>"9781138183346"</f>
        <v>9781138183346</v>
      </c>
      <c r="D290" t="str">
        <f>"9781000113297"</f>
        <v>9781000113297</v>
      </c>
      <c r="E290" s="1">
        <v>42408</v>
      </c>
      <c r="F290" s="1">
        <v>44155</v>
      </c>
      <c r="G290" t="s">
        <v>1022</v>
      </c>
      <c r="H290" t="s">
        <v>30</v>
      </c>
      <c r="I290" t="s">
        <v>1023</v>
      </c>
      <c r="J290" t="s">
        <v>1024</v>
      </c>
      <c r="K290" t="s">
        <v>1025</v>
      </c>
      <c r="L290" t="s">
        <v>38</v>
      </c>
      <c r="M290" t="s">
        <v>39</v>
      </c>
      <c r="N290" t="s">
        <v>40</v>
      </c>
      <c r="O290" t="s">
        <v>40</v>
      </c>
      <c r="P290" t="s">
        <v>39</v>
      </c>
      <c r="Q290" t="s">
        <v>39</v>
      </c>
      <c r="R290" t="s">
        <v>40</v>
      </c>
      <c r="S290" t="s">
        <v>39</v>
      </c>
      <c r="T290" t="s">
        <v>40</v>
      </c>
      <c r="U290" t="s">
        <v>1026</v>
      </c>
    </row>
    <row r="291" spans="1:21" x14ac:dyDescent="0.25">
      <c r="A291">
        <v>6404770</v>
      </c>
      <c r="B291" t="s">
        <v>1027</v>
      </c>
      <c r="C291" t="str">
        <f>"9780367620707"</f>
        <v>9780367620707</v>
      </c>
      <c r="D291" t="str">
        <f>"9781000263404"</f>
        <v>9781000263404</v>
      </c>
      <c r="E291" s="1">
        <v>44727</v>
      </c>
      <c r="F291" s="1">
        <v>44158</v>
      </c>
      <c r="G291" t="s">
        <v>1028</v>
      </c>
      <c r="H291" t="s">
        <v>30</v>
      </c>
    </row>
    <row r="292" spans="1:21" x14ac:dyDescent="0.25">
      <c r="A292">
        <v>6499638</v>
      </c>
      <c r="B292" t="s">
        <v>1043</v>
      </c>
      <c r="C292" t="str">
        <f>"9780415335768"</f>
        <v>9780415335768</v>
      </c>
      <c r="D292" t="str">
        <f>"9781000092264"</f>
        <v>9781000092264</v>
      </c>
      <c r="E292" s="1">
        <v>38730</v>
      </c>
      <c r="F292" s="1">
        <v>44254</v>
      </c>
      <c r="G292" t="s">
        <v>237</v>
      </c>
      <c r="H292" t="s">
        <v>30</v>
      </c>
      <c r="I292" t="s">
        <v>1044</v>
      </c>
      <c r="J292" t="s">
        <v>1045</v>
      </c>
      <c r="K292" t="s">
        <v>1046</v>
      </c>
      <c r="L292" t="s">
        <v>38</v>
      </c>
      <c r="M292" t="s">
        <v>39</v>
      </c>
      <c r="N292" t="s">
        <v>40</v>
      </c>
      <c r="O292" t="s">
        <v>40</v>
      </c>
      <c r="P292" t="s">
        <v>39</v>
      </c>
      <c r="Q292" t="s">
        <v>39</v>
      </c>
      <c r="R292" t="s">
        <v>40</v>
      </c>
      <c r="S292" t="s">
        <v>39</v>
      </c>
      <c r="T292" t="s">
        <v>40</v>
      </c>
      <c r="U292" t="s">
        <v>1047</v>
      </c>
    </row>
    <row r="293" spans="1:21" x14ac:dyDescent="0.25">
      <c r="A293">
        <v>6516226</v>
      </c>
      <c r="B293" t="s">
        <v>1050</v>
      </c>
      <c r="C293" t="str">
        <f>"9780860787136"</f>
        <v>9780860787136</v>
      </c>
      <c r="D293" t="str">
        <f>"9781351916189"</f>
        <v>9781351916189</v>
      </c>
      <c r="E293" s="1">
        <v>38196</v>
      </c>
      <c r="F293" s="1">
        <v>44269</v>
      </c>
      <c r="G293" t="s">
        <v>1051</v>
      </c>
      <c r="H293" t="s">
        <v>30</v>
      </c>
    </row>
    <row r="294" spans="1:21" x14ac:dyDescent="0.25">
      <c r="A294">
        <v>6612997</v>
      </c>
      <c r="B294" t="s">
        <v>1072</v>
      </c>
      <c r="C294" t="str">
        <f>"9780367629830"</f>
        <v>9780367629830</v>
      </c>
      <c r="D294" t="str">
        <f>"9781000402063"</f>
        <v>9781000402063</v>
      </c>
      <c r="E294" s="1">
        <v>44378</v>
      </c>
      <c r="F294" s="1">
        <v>44329</v>
      </c>
      <c r="G294" t="s">
        <v>1073</v>
      </c>
      <c r="H294" t="s">
        <v>30</v>
      </c>
      <c r="I294" t="s">
        <v>1074</v>
      </c>
      <c r="J294">
        <v>960</v>
      </c>
      <c r="K294" t="s">
        <v>1075</v>
      </c>
      <c r="L294" t="s">
        <v>38</v>
      </c>
      <c r="M294" t="s">
        <v>39</v>
      </c>
      <c r="N294" t="s">
        <v>40</v>
      </c>
      <c r="O294" t="s">
        <v>40</v>
      </c>
      <c r="P294" t="s">
        <v>39</v>
      </c>
      <c r="Q294" t="s">
        <v>39</v>
      </c>
      <c r="R294" t="s">
        <v>40</v>
      </c>
      <c r="S294" t="s">
        <v>39</v>
      </c>
      <c r="T294" t="s">
        <v>40</v>
      </c>
      <c r="U294" t="s">
        <v>1076</v>
      </c>
    </row>
    <row r="295" spans="1:21" x14ac:dyDescent="0.25">
      <c r="A295">
        <v>6789323</v>
      </c>
      <c r="B295" t="s">
        <v>1086</v>
      </c>
      <c r="C295" t="str">
        <f>"9781032165165"</f>
        <v>9781032165165</v>
      </c>
      <c r="D295" t="str">
        <f>"9781000525601"</f>
        <v>9781000525601</v>
      </c>
      <c r="E295" s="1">
        <v>37040</v>
      </c>
      <c r="F295" s="1">
        <v>44492</v>
      </c>
      <c r="G295" t="s">
        <v>1087</v>
      </c>
      <c r="H295" t="s">
        <v>30</v>
      </c>
      <c r="I295" t="s">
        <v>1088</v>
      </c>
      <c r="J295" s="2">
        <v>973099</v>
      </c>
      <c r="K295" t="s">
        <v>1089</v>
      </c>
    </row>
    <row r="296" spans="1:21" x14ac:dyDescent="0.25">
      <c r="A296">
        <v>6789326</v>
      </c>
      <c r="B296" t="s">
        <v>1090</v>
      </c>
      <c r="C296" t="str">
        <f>"9781032165196"</f>
        <v>9781032165196</v>
      </c>
      <c r="D296" t="str">
        <f>"9781000524451"</f>
        <v>9781000524451</v>
      </c>
      <c r="E296" s="1">
        <v>44497</v>
      </c>
      <c r="F296" s="1">
        <v>44492</v>
      </c>
      <c r="G296" t="s">
        <v>1091</v>
      </c>
      <c r="H296" t="s">
        <v>30</v>
      </c>
      <c r="I296" t="s">
        <v>1092</v>
      </c>
      <c r="J296" t="s">
        <v>1093</v>
      </c>
      <c r="K296" t="s">
        <v>1094</v>
      </c>
      <c r="L296" t="s">
        <v>38</v>
      </c>
      <c r="M296" t="s">
        <v>39</v>
      </c>
      <c r="N296" t="s">
        <v>40</v>
      </c>
      <c r="O296" t="s">
        <v>40</v>
      </c>
      <c r="P296" t="s">
        <v>39</v>
      </c>
      <c r="Q296" t="s">
        <v>39</v>
      </c>
      <c r="R296" t="s">
        <v>40</v>
      </c>
      <c r="S296" t="s">
        <v>39</v>
      </c>
      <c r="T296" t="s">
        <v>40</v>
      </c>
      <c r="U296" t="s">
        <v>1095</v>
      </c>
    </row>
    <row r="297" spans="1:21" x14ac:dyDescent="0.25">
      <c r="A297">
        <v>6952790</v>
      </c>
      <c r="B297" t="s">
        <v>1105</v>
      </c>
      <c r="C297" t="str">
        <f>"9781138321540"</f>
        <v>9781138321540</v>
      </c>
      <c r="D297" t="str">
        <f>"9780429839863"</f>
        <v>9780429839863</v>
      </c>
      <c r="E297" s="1">
        <v>44652</v>
      </c>
      <c r="F297" s="1">
        <v>44666</v>
      </c>
      <c r="G297" t="s">
        <v>1106</v>
      </c>
      <c r="H297" t="s">
        <v>30</v>
      </c>
      <c r="I297" t="s">
        <v>1107</v>
      </c>
      <c r="J297" t="s">
        <v>646</v>
      </c>
      <c r="K297" t="s">
        <v>647</v>
      </c>
      <c r="L297" t="s">
        <v>38</v>
      </c>
      <c r="M297" t="s">
        <v>39</v>
      </c>
      <c r="N297" t="s">
        <v>40</v>
      </c>
      <c r="O297" t="s">
        <v>40</v>
      </c>
      <c r="P297" t="s">
        <v>39</v>
      </c>
      <c r="Q297" t="s">
        <v>39</v>
      </c>
      <c r="R297" t="s">
        <v>40</v>
      </c>
      <c r="S297" t="s">
        <v>39</v>
      </c>
      <c r="T297" t="s">
        <v>40</v>
      </c>
      <c r="U297" t="s">
        <v>1108</v>
      </c>
    </row>
    <row r="298" spans="1:21" x14ac:dyDescent="0.25">
      <c r="A298">
        <v>6975965</v>
      </c>
      <c r="B298" t="s">
        <v>1109</v>
      </c>
      <c r="C298" t="str">
        <f>"9780415326780"</f>
        <v>9780415326780</v>
      </c>
      <c r="D298" t="str">
        <f>"9781134357802"</f>
        <v>9781134357802</v>
      </c>
      <c r="E298" s="1">
        <v>37854</v>
      </c>
      <c r="F298" s="1">
        <v>44686</v>
      </c>
      <c r="G298" t="s">
        <v>1110</v>
      </c>
      <c r="H298" t="s">
        <v>30</v>
      </c>
      <c r="I298" t="s">
        <v>1111</v>
      </c>
      <c r="J298" t="s">
        <v>1112</v>
      </c>
      <c r="K298" t="s">
        <v>1113</v>
      </c>
      <c r="L298" t="s">
        <v>38</v>
      </c>
      <c r="M298" t="s">
        <v>39</v>
      </c>
      <c r="N298" t="s">
        <v>40</v>
      </c>
      <c r="O298" t="s">
        <v>40</v>
      </c>
      <c r="P298" t="s">
        <v>39</v>
      </c>
      <c r="Q298" t="s">
        <v>39</v>
      </c>
      <c r="R298" t="s">
        <v>40</v>
      </c>
      <c r="S298" t="s">
        <v>39</v>
      </c>
      <c r="T298" t="s">
        <v>40</v>
      </c>
      <c r="U298" t="s">
        <v>1114</v>
      </c>
    </row>
    <row r="299" spans="1:21" x14ac:dyDescent="0.25">
      <c r="A299">
        <v>7077783</v>
      </c>
      <c r="B299" t="s">
        <v>1134</v>
      </c>
      <c r="C299" t="str">
        <f>"9781032156415"</f>
        <v>9781032156415</v>
      </c>
      <c r="D299" t="str">
        <f>"9781000727555"</f>
        <v>9781000727555</v>
      </c>
      <c r="E299" s="1">
        <v>44834</v>
      </c>
      <c r="F299" s="1">
        <v>44800</v>
      </c>
      <c r="G299" t="s">
        <v>1135</v>
      </c>
      <c r="H299" t="s">
        <v>30</v>
      </c>
      <c r="I299" t="s">
        <v>1136</v>
      </c>
      <c r="J299" s="2">
        <v>941082</v>
      </c>
      <c r="K299" t="s">
        <v>1137</v>
      </c>
    </row>
    <row r="300" spans="1:21" x14ac:dyDescent="0.25">
      <c r="A300">
        <v>7108887</v>
      </c>
      <c r="B300" t="s">
        <v>1138</v>
      </c>
      <c r="C300" t="str">
        <f>"9781032351896"</f>
        <v>9781032351896</v>
      </c>
      <c r="D300" t="str">
        <f>"9781000737394"</f>
        <v>9781000737394</v>
      </c>
      <c r="E300" s="1">
        <v>44834</v>
      </c>
      <c r="F300" s="1">
        <v>44846</v>
      </c>
      <c r="G300" t="s">
        <v>1139</v>
      </c>
      <c r="H300" t="s">
        <v>30</v>
      </c>
      <c r="I300" t="s">
        <v>1140</v>
      </c>
      <c r="J300" t="s">
        <v>1141</v>
      </c>
      <c r="K300" t="s">
        <v>1142</v>
      </c>
      <c r="L300" t="s">
        <v>38</v>
      </c>
      <c r="M300" t="s">
        <v>39</v>
      </c>
      <c r="N300" t="s">
        <v>40</v>
      </c>
      <c r="O300" t="s">
        <v>40</v>
      </c>
      <c r="P300" t="s">
        <v>39</v>
      </c>
      <c r="Q300" t="s">
        <v>39</v>
      </c>
      <c r="R300" t="s">
        <v>40</v>
      </c>
      <c r="S300" t="s">
        <v>39</v>
      </c>
      <c r="T300" t="s">
        <v>40</v>
      </c>
      <c r="U300" t="s">
        <v>1143</v>
      </c>
    </row>
    <row r="301" spans="1:21" x14ac:dyDescent="0.25">
      <c r="A301">
        <v>7130633</v>
      </c>
      <c r="B301" t="s">
        <v>1146</v>
      </c>
      <c r="C301" t="str">
        <f>"9781032382562"</f>
        <v>9781032382562</v>
      </c>
      <c r="D301" t="str">
        <f>"9781000805123"</f>
        <v>9781000805123</v>
      </c>
      <c r="E301" s="1">
        <v>44923</v>
      </c>
      <c r="F301" s="1">
        <v>44869</v>
      </c>
      <c r="G301" t="s">
        <v>1147</v>
      </c>
      <c r="H301" t="s">
        <v>30</v>
      </c>
    </row>
    <row r="302" spans="1:21" x14ac:dyDescent="0.25">
      <c r="A302">
        <v>7186666</v>
      </c>
      <c r="B302" t="s">
        <v>1240</v>
      </c>
      <c r="C302" t="str">
        <f>"9781032464275"</f>
        <v>9781032464275</v>
      </c>
      <c r="D302" t="str">
        <f>"9781000875423"</f>
        <v>9781000875423</v>
      </c>
      <c r="E302" s="1">
        <v>45016</v>
      </c>
      <c r="F302" s="1">
        <v>44953</v>
      </c>
      <c r="G302" t="s">
        <v>1241</v>
      </c>
      <c r="H302" t="s">
        <v>30</v>
      </c>
      <c r="I302" t="s">
        <v>1242</v>
      </c>
      <c r="J302" t="s">
        <v>1243</v>
      </c>
      <c r="K302" t="s">
        <v>1244</v>
      </c>
      <c r="L302" t="s">
        <v>38</v>
      </c>
      <c r="M302" t="s">
        <v>39</v>
      </c>
      <c r="N302" t="s">
        <v>40</v>
      </c>
      <c r="O302" t="s">
        <v>40</v>
      </c>
      <c r="P302" t="s">
        <v>39</v>
      </c>
      <c r="Q302" t="s">
        <v>39</v>
      </c>
      <c r="R302" t="s">
        <v>40</v>
      </c>
      <c r="S302" t="s">
        <v>39</v>
      </c>
      <c r="T302" t="s">
        <v>40</v>
      </c>
      <c r="U302" t="s">
        <v>1245</v>
      </c>
    </row>
    <row r="303" spans="1:21" x14ac:dyDescent="0.25">
      <c r="A303">
        <v>7208564</v>
      </c>
      <c r="B303" t="s">
        <v>1259</v>
      </c>
      <c r="C303" t="str">
        <f>"9781032455990"</f>
        <v>9781032455990</v>
      </c>
      <c r="D303" t="str">
        <f>"9781000855845"</f>
        <v>9781000855845</v>
      </c>
      <c r="E303" s="1">
        <v>45049</v>
      </c>
      <c r="F303" s="1">
        <v>44989</v>
      </c>
      <c r="G303" t="s">
        <v>1260</v>
      </c>
      <c r="H303" t="s">
        <v>30</v>
      </c>
      <c r="I303" t="s">
        <v>1261</v>
      </c>
      <c r="J303" t="s">
        <v>1262</v>
      </c>
      <c r="K303" t="s">
        <v>1263</v>
      </c>
      <c r="L303" t="s">
        <v>38</v>
      </c>
      <c r="M303" t="s">
        <v>39</v>
      </c>
      <c r="N303" t="s">
        <v>40</v>
      </c>
      <c r="O303" t="s">
        <v>40</v>
      </c>
      <c r="P303" t="s">
        <v>39</v>
      </c>
      <c r="Q303" t="s">
        <v>39</v>
      </c>
      <c r="R303" t="s">
        <v>40</v>
      </c>
      <c r="S303" t="s">
        <v>39</v>
      </c>
      <c r="T303" t="s">
        <v>40</v>
      </c>
      <c r="U303" t="s">
        <v>1264</v>
      </c>
    </row>
    <row r="304" spans="1:21" x14ac:dyDescent="0.25">
      <c r="A304">
        <v>7209928</v>
      </c>
      <c r="B304" t="s">
        <v>1267</v>
      </c>
      <c r="C304" t="str">
        <f>"9781032425061"</f>
        <v>9781032425061</v>
      </c>
      <c r="D304" t="str">
        <f>"9781000856750"</f>
        <v>9781000856750</v>
      </c>
      <c r="E304" s="1">
        <v>45049</v>
      </c>
      <c r="F304" s="1">
        <v>44992</v>
      </c>
      <c r="G304" t="s">
        <v>1268</v>
      </c>
      <c r="H304" t="s">
        <v>30</v>
      </c>
      <c r="I304" t="s">
        <v>1269</v>
      </c>
      <c r="J304" t="s">
        <v>1270</v>
      </c>
      <c r="K304" t="s">
        <v>1271</v>
      </c>
      <c r="L304" t="s">
        <v>38</v>
      </c>
      <c r="M304" t="s">
        <v>39</v>
      </c>
      <c r="N304" t="s">
        <v>40</v>
      </c>
      <c r="O304" t="s">
        <v>40</v>
      </c>
      <c r="P304" t="s">
        <v>39</v>
      </c>
      <c r="Q304" t="s">
        <v>39</v>
      </c>
      <c r="R304" t="s">
        <v>40</v>
      </c>
      <c r="S304" t="s">
        <v>39</v>
      </c>
      <c r="T304" t="s">
        <v>40</v>
      </c>
      <c r="U304" t="s">
        <v>1272</v>
      </c>
    </row>
    <row r="305" spans="1:21" x14ac:dyDescent="0.25">
      <c r="A305">
        <v>7209939</v>
      </c>
      <c r="B305" t="s">
        <v>1273</v>
      </c>
      <c r="C305" t="str">
        <f>"9781032422503"</f>
        <v>9781032422503</v>
      </c>
      <c r="D305" t="str">
        <f>"9781000856569"</f>
        <v>9781000856569</v>
      </c>
      <c r="E305" s="1">
        <v>45049</v>
      </c>
      <c r="F305" s="1">
        <v>44992</v>
      </c>
      <c r="G305" t="s">
        <v>1266</v>
      </c>
      <c r="H305" t="s">
        <v>30</v>
      </c>
      <c r="I305" t="s">
        <v>1274</v>
      </c>
      <c r="J305">
        <v>960</v>
      </c>
      <c r="K305" t="s">
        <v>1275</v>
      </c>
      <c r="L305" t="s">
        <v>38</v>
      </c>
      <c r="M305" t="s">
        <v>39</v>
      </c>
      <c r="N305" t="s">
        <v>40</v>
      </c>
      <c r="O305" t="s">
        <v>40</v>
      </c>
      <c r="P305" t="s">
        <v>39</v>
      </c>
      <c r="Q305" t="s">
        <v>39</v>
      </c>
      <c r="R305" t="s">
        <v>40</v>
      </c>
      <c r="S305" t="s">
        <v>39</v>
      </c>
      <c r="T305" t="s">
        <v>40</v>
      </c>
      <c r="U305" t="s">
        <v>1276</v>
      </c>
    </row>
    <row r="306" spans="1:21" x14ac:dyDescent="0.25">
      <c r="A306">
        <v>7210685</v>
      </c>
      <c r="B306" t="s">
        <v>1277</v>
      </c>
      <c r="C306" t="str">
        <f>"9781032438719"</f>
        <v>9781032438719</v>
      </c>
      <c r="D306" t="str">
        <f>"9781000857115"</f>
        <v>9781000857115</v>
      </c>
      <c r="E306" s="1">
        <v>45049</v>
      </c>
      <c r="F306" s="1">
        <v>44993</v>
      </c>
      <c r="G306" t="s">
        <v>1278</v>
      </c>
      <c r="H306" t="s">
        <v>30</v>
      </c>
    </row>
    <row r="307" spans="1:21" x14ac:dyDescent="0.25">
      <c r="A307">
        <v>7211017</v>
      </c>
      <c r="B307" t="s">
        <v>1279</v>
      </c>
      <c r="C307" t="str">
        <f>"9781032438771"</f>
        <v>9781032438771</v>
      </c>
      <c r="D307" t="str">
        <f>"9781000857900"</f>
        <v>9781000857900</v>
      </c>
      <c r="E307" s="1">
        <v>45049</v>
      </c>
      <c r="F307" s="1">
        <v>44994</v>
      </c>
      <c r="G307" t="s">
        <v>1280</v>
      </c>
      <c r="H307" t="s">
        <v>30</v>
      </c>
      <c r="I307" t="s">
        <v>1281</v>
      </c>
      <c r="J307">
        <v>990</v>
      </c>
      <c r="K307" t="s">
        <v>1282</v>
      </c>
      <c r="L307" t="s">
        <v>38</v>
      </c>
      <c r="M307" t="s">
        <v>39</v>
      </c>
      <c r="N307" t="s">
        <v>40</v>
      </c>
      <c r="O307" t="s">
        <v>40</v>
      </c>
      <c r="P307" t="s">
        <v>39</v>
      </c>
      <c r="Q307" t="s">
        <v>39</v>
      </c>
      <c r="R307" t="s">
        <v>39</v>
      </c>
      <c r="S307" t="s">
        <v>39</v>
      </c>
      <c r="T307" t="s">
        <v>40</v>
      </c>
      <c r="U307" t="s">
        <v>1283</v>
      </c>
    </row>
    <row r="308" spans="1:21" x14ac:dyDescent="0.25">
      <c r="A308">
        <v>7211049</v>
      </c>
      <c r="B308" t="s">
        <v>1285</v>
      </c>
      <c r="C308" t="str">
        <f>"9781032424958"</f>
        <v>9781032424958</v>
      </c>
      <c r="D308" t="str">
        <f>"9781000858020"</f>
        <v>9781000858020</v>
      </c>
      <c r="E308" s="1">
        <v>45049</v>
      </c>
      <c r="F308" s="1">
        <v>44994</v>
      </c>
      <c r="G308" t="s">
        <v>1286</v>
      </c>
      <c r="H308" t="s">
        <v>30</v>
      </c>
      <c r="I308" t="s">
        <v>1287</v>
      </c>
      <c r="J308" s="2">
        <v>966022</v>
      </c>
      <c r="K308" t="s">
        <v>1288</v>
      </c>
      <c r="L308" t="s">
        <v>38</v>
      </c>
      <c r="M308" t="s">
        <v>39</v>
      </c>
      <c r="N308" t="s">
        <v>40</v>
      </c>
      <c r="O308" t="s">
        <v>40</v>
      </c>
      <c r="P308" t="s">
        <v>39</v>
      </c>
      <c r="Q308" t="s">
        <v>39</v>
      </c>
      <c r="R308" t="s">
        <v>39</v>
      </c>
      <c r="S308" t="s">
        <v>39</v>
      </c>
      <c r="T308" t="s">
        <v>40</v>
      </c>
      <c r="U308" t="s">
        <v>1289</v>
      </c>
    </row>
    <row r="309" spans="1:21" x14ac:dyDescent="0.25">
      <c r="A309">
        <v>7217280</v>
      </c>
      <c r="B309" t="s">
        <v>1290</v>
      </c>
      <c r="C309" t="str">
        <f>"9781032247939"</f>
        <v>9781032247939</v>
      </c>
      <c r="D309" t="str">
        <f>"9781000868791"</f>
        <v>9781000868791</v>
      </c>
      <c r="E309" s="1">
        <v>45047</v>
      </c>
      <c r="F309" s="1">
        <v>45006</v>
      </c>
      <c r="G309" t="s">
        <v>1291</v>
      </c>
      <c r="H309" t="s">
        <v>30</v>
      </c>
      <c r="I309" t="s">
        <v>1292</v>
      </c>
      <c r="J309" t="s">
        <v>1293</v>
      </c>
      <c r="K309" t="s">
        <v>1294</v>
      </c>
      <c r="L309" t="s">
        <v>38</v>
      </c>
      <c r="M309" t="s">
        <v>39</v>
      </c>
      <c r="N309" t="s">
        <v>40</v>
      </c>
      <c r="O309" t="s">
        <v>40</v>
      </c>
      <c r="P309" t="s">
        <v>39</v>
      </c>
      <c r="Q309" t="s">
        <v>39</v>
      </c>
      <c r="R309" t="s">
        <v>40</v>
      </c>
      <c r="S309" t="s">
        <v>40</v>
      </c>
      <c r="T309" t="s">
        <v>40</v>
      </c>
      <c r="U309" t="s">
        <v>1295</v>
      </c>
    </row>
    <row r="310" spans="1:21" x14ac:dyDescent="0.25">
      <c r="A310">
        <v>7250757</v>
      </c>
      <c r="B310" t="s">
        <v>1307</v>
      </c>
      <c r="C310" t="str">
        <f>"9781138925502"</f>
        <v>9781138925502</v>
      </c>
      <c r="D310" t="str">
        <f>"9781000950663"</f>
        <v>9781000950663</v>
      </c>
      <c r="E310" s="1">
        <v>42205</v>
      </c>
      <c r="F310" s="1">
        <v>45065</v>
      </c>
      <c r="G310" t="s">
        <v>1308</v>
      </c>
      <c r="H310" t="s">
        <v>30</v>
      </c>
    </row>
    <row r="311" spans="1:21" x14ac:dyDescent="0.25">
      <c r="A311">
        <v>7260418</v>
      </c>
      <c r="B311" t="s">
        <v>1315</v>
      </c>
      <c r="C311" t="str">
        <f>"9781032438504"</f>
        <v>9781032438504</v>
      </c>
      <c r="D311" t="str">
        <f>"9781000922639"</f>
        <v>9781000922639</v>
      </c>
      <c r="E311" s="1">
        <v>45139</v>
      </c>
      <c r="F311" s="1">
        <v>45086</v>
      </c>
      <c r="G311" t="s">
        <v>1316</v>
      </c>
      <c r="H311" t="s">
        <v>30</v>
      </c>
    </row>
    <row r="312" spans="1:21" x14ac:dyDescent="0.25">
      <c r="A312">
        <v>7261230</v>
      </c>
      <c r="B312" t="s">
        <v>1319</v>
      </c>
      <c r="C312" t="str">
        <f>"9781032444987"</f>
        <v>9781032444987</v>
      </c>
      <c r="D312" t="str">
        <f>"9781000917079"</f>
        <v>9781000917079</v>
      </c>
      <c r="E312" s="1">
        <v>45139</v>
      </c>
      <c r="F312" s="1">
        <v>45090</v>
      </c>
      <c r="G312" t="s">
        <v>1320</v>
      </c>
      <c r="H312" t="s">
        <v>30</v>
      </c>
    </row>
    <row r="313" spans="1:21" x14ac:dyDescent="0.25">
      <c r="A313">
        <v>7263689</v>
      </c>
      <c r="B313" t="s">
        <v>1323</v>
      </c>
      <c r="C313" t="str">
        <f>"9781032542294"</f>
        <v>9781032542294</v>
      </c>
      <c r="D313" t="str">
        <f>"9781000921274"</f>
        <v>9781000921274</v>
      </c>
      <c r="E313" s="1">
        <v>45148</v>
      </c>
      <c r="F313" s="1">
        <v>45098</v>
      </c>
      <c r="G313" t="s">
        <v>1324</v>
      </c>
      <c r="H313" t="s">
        <v>30</v>
      </c>
      <c r="I313" t="s">
        <v>1325</v>
      </c>
      <c r="J313" s="2">
        <v>948022</v>
      </c>
      <c r="K313" t="s">
        <v>1326</v>
      </c>
    </row>
    <row r="314" spans="1:21" x14ac:dyDescent="0.25">
      <c r="A314">
        <v>7263849</v>
      </c>
      <c r="B314" t="s">
        <v>1327</v>
      </c>
      <c r="C314" t="str">
        <f>"9781032533483"</f>
        <v>9781032533483</v>
      </c>
      <c r="D314" t="str">
        <f>"9781000921250"</f>
        <v>9781000921250</v>
      </c>
      <c r="E314" s="1">
        <v>45148</v>
      </c>
      <c r="F314" s="1">
        <v>45098</v>
      </c>
      <c r="G314" t="s">
        <v>1328</v>
      </c>
      <c r="H314" t="s">
        <v>30</v>
      </c>
      <c r="I314" t="s">
        <v>1329</v>
      </c>
      <c r="J314" s="2">
        <v>942014</v>
      </c>
      <c r="K314" t="s">
        <v>1330</v>
      </c>
    </row>
    <row r="315" spans="1:21" x14ac:dyDescent="0.25">
      <c r="A315">
        <v>7266317</v>
      </c>
      <c r="B315" t="s">
        <v>1344</v>
      </c>
      <c r="C315" t="str">
        <f>"9781032568836"</f>
        <v>9781032568836</v>
      </c>
      <c r="D315" t="str">
        <f>"9781000958096"</f>
        <v>9781000958096</v>
      </c>
      <c r="E315" s="1">
        <v>45139</v>
      </c>
      <c r="F315" s="1">
        <v>45107</v>
      </c>
      <c r="G315" t="s">
        <v>1345</v>
      </c>
      <c r="H315" t="s">
        <v>30</v>
      </c>
      <c r="I315" t="s">
        <v>1346</v>
      </c>
      <c r="J315">
        <v>966</v>
      </c>
      <c r="K315" t="s">
        <v>1347</v>
      </c>
      <c r="L315" t="s">
        <v>38</v>
      </c>
      <c r="M315" t="s">
        <v>39</v>
      </c>
      <c r="N315" t="s">
        <v>40</v>
      </c>
      <c r="O315" t="s">
        <v>40</v>
      </c>
      <c r="P315" t="s">
        <v>39</v>
      </c>
      <c r="Q315" t="s">
        <v>39</v>
      </c>
      <c r="R315" t="s">
        <v>40</v>
      </c>
      <c r="S315" t="s">
        <v>40</v>
      </c>
      <c r="T315" t="s">
        <v>40</v>
      </c>
      <c r="U315" t="s">
        <v>1348</v>
      </c>
    </row>
    <row r="316" spans="1:21" x14ac:dyDescent="0.25">
      <c r="A316">
        <v>7267560</v>
      </c>
      <c r="B316" t="s">
        <v>1354</v>
      </c>
      <c r="C316" t="str">
        <f>"9781032392356"</f>
        <v>9781032392356</v>
      </c>
      <c r="D316" t="str">
        <f>"9781000911299"</f>
        <v>9781000911299</v>
      </c>
      <c r="E316" s="1">
        <v>45139</v>
      </c>
      <c r="F316" s="1">
        <v>45112</v>
      </c>
      <c r="G316" t="s">
        <v>1355</v>
      </c>
      <c r="H316" t="s">
        <v>30</v>
      </c>
      <c r="J316" t="s">
        <v>1356</v>
      </c>
      <c r="K316" t="s">
        <v>1357</v>
      </c>
    </row>
    <row r="317" spans="1:21" x14ac:dyDescent="0.25">
      <c r="A317">
        <v>7272984</v>
      </c>
      <c r="B317" t="s">
        <v>1362</v>
      </c>
      <c r="C317" t="str">
        <f>"9781032523316"</f>
        <v>9781032523316</v>
      </c>
      <c r="D317" t="str">
        <f>"9781000926989"</f>
        <v>9781000926989</v>
      </c>
      <c r="E317" s="1">
        <v>45139</v>
      </c>
      <c r="F317" s="1">
        <v>45127</v>
      </c>
      <c r="G317" t="s">
        <v>1363</v>
      </c>
      <c r="H317" t="s">
        <v>30</v>
      </c>
      <c r="J317" s="2">
        <v>981068</v>
      </c>
      <c r="K317" t="s">
        <v>1364</v>
      </c>
      <c r="L317" t="s">
        <v>38</v>
      </c>
      <c r="M317" t="s">
        <v>39</v>
      </c>
      <c r="N317" t="s">
        <v>40</v>
      </c>
      <c r="O317" t="s">
        <v>40</v>
      </c>
      <c r="P317" t="s">
        <v>39</v>
      </c>
      <c r="Q317" t="s">
        <v>39</v>
      </c>
      <c r="R317" t="s">
        <v>40</v>
      </c>
      <c r="S317" t="s">
        <v>39</v>
      </c>
      <c r="T317" t="s">
        <v>40</v>
      </c>
      <c r="U317" t="s">
        <v>1365</v>
      </c>
    </row>
    <row r="318" spans="1:21" x14ac:dyDescent="0.25">
      <c r="A318">
        <v>7279892</v>
      </c>
      <c r="B318" t="s">
        <v>1387</v>
      </c>
      <c r="C318" t="str">
        <f>"9781138656086"</f>
        <v>9781138656086</v>
      </c>
      <c r="D318" t="str">
        <f>"9781000967920"</f>
        <v>9781000967920</v>
      </c>
      <c r="E318" s="1">
        <v>45200</v>
      </c>
      <c r="F318" s="1">
        <v>45147</v>
      </c>
      <c r="G318" t="s">
        <v>1388</v>
      </c>
      <c r="H318" t="s">
        <v>30</v>
      </c>
      <c r="K318" t="s">
        <v>1389</v>
      </c>
    </row>
    <row r="319" spans="1:21" x14ac:dyDescent="0.25">
      <c r="A319">
        <v>7282138</v>
      </c>
      <c r="B319" t="s">
        <v>1396</v>
      </c>
      <c r="C319" t="str">
        <f>"9781032598321"</f>
        <v>9781032598321</v>
      </c>
      <c r="D319" t="str">
        <f>"9781000990072"</f>
        <v>9781000990072</v>
      </c>
      <c r="E319" s="1">
        <v>45236</v>
      </c>
      <c r="F319" s="1">
        <v>45157</v>
      </c>
      <c r="G319" t="s">
        <v>1397</v>
      </c>
      <c r="H319" t="s">
        <v>30</v>
      </c>
      <c r="I319" t="s">
        <v>1398</v>
      </c>
      <c r="J319" t="s">
        <v>1399</v>
      </c>
      <c r="K319" t="s">
        <v>1400</v>
      </c>
    </row>
    <row r="320" spans="1:21" x14ac:dyDescent="0.25">
      <c r="A320">
        <v>30728844</v>
      </c>
      <c r="B320" t="s">
        <v>1461</v>
      </c>
      <c r="C320" t="str">
        <f>"9781032111902"</f>
        <v>9781032111902</v>
      </c>
      <c r="D320" t="str">
        <f>"9781000967449"</f>
        <v>9781000967449</v>
      </c>
      <c r="E320" s="1">
        <v>45200</v>
      </c>
      <c r="F320" s="1">
        <v>45175</v>
      </c>
      <c r="G320" t="s">
        <v>1462</v>
      </c>
      <c r="H320" t="s">
        <v>30</v>
      </c>
      <c r="J320">
        <v>946</v>
      </c>
      <c r="K320" t="s">
        <v>1463</v>
      </c>
    </row>
    <row r="321" spans="1:21" x14ac:dyDescent="0.25">
      <c r="A321">
        <v>30769662</v>
      </c>
      <c r="B321" t="s">
        <v>1484</v>
      </c>
      <c r="C321" t="str">
        <f>"9781032303079"</f>
        <v>9781032303079</v>
      </c>
      <c r="D321" t="str">
        <f>"9781003800668"</f>
        <v>9781003800668</v>
      </c>
      <c r="E321" s="1">
        <v>45253</v>
      </c>
      <c r="F321" s="1">
        <v>45204</v>
      </c>
      <c r="G321" t="s">
        <v>1485</v>
      </c>
      <c r="H321" t="s">
        <v>30</v>
      </c>
      <c r="I321" t="s">
        <v>1486</v>
      </c>
      <c r="J321" s="2">
        <v>973933</v>
      </c>
      <c r="K321" t="s">
        <v>1487</v>
      </c>
    </row>
    <row r="322" spans="1:21" x14ac:dyDescent="0.25">
      <c r="A322">
        <v>30796373</v>
      </c>
      <c r="B322" t="s">
        <v>1495</v>
      </c>
      <c r="C322" t="str">
        <f>"9781032613000"</f>
        <v>9781032613000</v>
      </c>
      <c r="D322" t="str">
        <f>"9781003800194"</f>
        <v>9781003800194</v>
      </c>
      <c r="E322" s="1">
        <v>45280</v>
      </c>
      <c r="F322" s="1">
        <v>45219</v>
      </c>
      <c r="G322" t="s">
        <v>1496</v>
      </c>
      <c r="H322" t="s">
        <v>30</v>
      </c>
      <c r="I322" t="s">
        <v>1497</v>
      </c>
      <c r="J322" t="s">
        <v>355</v>
      </c>
      <c r="K322" t="s">
        <v>1498</v>
      </c>
    </row>
    <row r="323" spans="1:21" x14ac:dyDescent="0.25">
      <c r="A323">
        <v>30808842</v>
      </c>
      <c r="B323" t="s">
        <v>1499</v>
      </c>
      <c r="C323" t="str">
        <f>"9781032425818"</f>
        <v>9781032425818</v>
      </c>
      <c r="D323" t="str">
        <f>"9781003834441"</f>
        <v>9781003834441</v>
      </c>
      <c r="E323" s="1">
        <v>45274</v>
      </c>
      <c r="F323" s="1">
        <v>45223</v>
      </c>
      <c r="G323" t="s">
        <v>1500</v>
      </c>
      <c r="H323" t="s">
        <v>30</v>
      </c>
    </row>
    <row r="324" spans="1:21" x14ac:dyDescent="0.25">
      <c r="A324">
        <v>30828925</v>
      </c>
      <c r="B324" t="s">
        <v>1505</v>
      </c>
      <c r="C324" t="str">
        <f>"9781032465357"</f>
        <v>9781032465357</v>
      </c>
      <c r="D324" t="str">
        <f>"9781003826804"</f>
        <v>9781003826804</v>
      </c>
      <c r="E324" s="1">
        <v>45261</v>
      </c>
      <c r="F324" s="1">
        <v>45227</v>
      </c>
      <c r="G324" t="s">
        <v>1506</v>
      </c>
      <c r="H324" t="s">
        <v>30</v>
      </c>
    </row>
    <row r="325" spans="1:21" x14ac:dyDescent="0.25">
      <c r="A325">
        <v>30847566</v>
      </c>
      <c r="B325" t="s">
        <v>1511</v>
      </c>
      <c r="C325" t="str">
        <f>"9781032636085"</f>
        <v>9781032636085</v>
      </c>
      <c r="D325" t="str">
        <f>"9781003824640"</f>
        <v>9781003824640</v>
      </c>
      <c r="E325" s="1">
        <v>45290</v>
      </c>
      <c r="F325" s="1">
        <v>45232</v>
      </c>
      <c r="G325" t="s">
        <v>1512</v>
      </c>
      <c r="H325" t="s">
        <v>30</v>
      </c>
      <c r="I325" t="s">
        <v>1513</v>
      </c>
      <c r="J325" t="s">
        <v>204</v>
      </c>
      <c r="K325" t="s">
        <v>1514</v>
      </c>
      <c r="L325" t="s">
        <v>38</v>
      </c>
      <c r="M325" t="s">
        <v>39</v>
      </c>
      <c r="N325" t="s">
        <v>40</v>
      </c>
      <c r="O325" t="s">
        <v>40</v>
      </c>
      <c r="P325" t="s">
        <v>39</v>
      </c>
      <c r="Q325" t="s">
        <v>39</v>
      </c>
      <c r="R325" t="s">
        <v>40</v>
      </c>
      <c r="S325" t="s">
        <v>40</v>
      </c>
      <c r="T325" t="s">
        <v>40</v>
      </c>
      <c r="U325" t="s">
        <v>1515</v>
      </c>
    </row>
    <row r="326" spans="1:21" x14ac:dyDescent="0.25">
      <c r="A326">
        <v>30873792</v>
      </c>
      <c r="B326" t="s">
        <v>1520</v>
      </c>
      <c r="C326" t="str">
        <f>"9781032656441"</f>
        <v>9781032656441</v>
      </c>
      <c r="D326" t="str">
        <f>"9781003823988"</f>
        <v>9781003823988</v>
      </c>
      <c r="E326" s="1">
        <v>45253</v>
      </c>
      <c r="F326" s="1">
        <v>45239</v>
      </c>
      <c r="G326" t="s">
        <v>1521</v>
      </c>
      <c r="H326" t="s">
        <v>30</v>
      </c>
      <c r="I326" t="s">
        <v>1522</v>
      </c>
      <c r="J326">
        <v>944</v>
      </c>
      <c r="K326" t="s">
        <v>1523</v>
      </c>
    </row>
    <row r="327" spans="1:21" x14ac:dyDescent="0.25">
      <c r="A327">
        <v>30941436</v>
      </c>
      <c r="B327" t="s">
        <v>1530</v>
      </c>
      <c r="C327" t="str">
        <f>"9781032387239"</f>
        <v>9781032387239</v>
      </c>
      <c r="D327" t="str">
        <f>"9781003801184"</f>
        <v>9781003801184</v>
      </c>
      <c r="E327" s="1">
        <v>45278</v>
      </c>
      <c r="F327" s="1">
        <v>45245</v>
      </c>
      <c r="G327" t="s">
        <v>1531</v>
      </c>
      <c r="H327" t="s">
        <v>30</v>
      </c>
    </row>
    <row r="328" spans="1:21" x14ac:dyDescent="0.25">
      <c r="A328">
        <v>31024361</v>
      </c>
      <c r="B328" t="s">
        <v>1550</v>
      </c>
      <c r="C328" t="str">
        <f>"9781032625164"</f>
        <v>9781032625164</v>
      </c>
      <c r="D328" t="str">
        <f>"9781003854630"</f>
        <v>9781003854630</v>
      </c>
      <c r="E328" s="1">
        <v>45323</v>
      </c>
      <c r="F328" s="1">
        <v>45279</v>
      </c>
      <c r="G328" t="s">
        <v>1551</v>
      </c>
      <c r="H328" t="s">
        <v>30</v>
      </c>
    </row>
    <row r="329" spans="1:21" x14ac:dyDescent="0.25">
      <c r="A329">
        <v>31104106</v>
      </c>
      <c r="B329" t="s">
        <v>1560</v>
      </c>
      <c r="C329" t="str">
        <f>"9781032625843"</f>
        <v>9781032625843</v>
      </c>
      <c r="D329" t="str">
        <f>"9781040003855"</f>
        <v>9781040003855</v>
      </c>
      <c r="E329" s="1">
        <v>45413</v>
      </c>
      <c r="F329" s="1">
        <v>45327</v>
      </c>
      <c r="G329" t="s">
        <v>1561</v>
      </c>
      <c r="H329" t="s">
        <v>30</v>
      </c>
      <c r="I329" t="s">
        <v>1562</v>
      </c>
      <c r="J329" s="2">
        <v>973933</v>
      </c>
      <c r="K329" t="s">
        <v>1563</v>
      </c>
      <c r="L329" t="s">
        <v>38</v>
      </c>
      <c r="M329" t="s">
        <v>39</v>
      </c>
      <c r="N329" t="s">
        <v>40</v>
      </c>
      <c r="O329" t="s">
        <v>40</v>
      </c>
      <c r="P329" t="s">
        <v>39</v>
      </c>
      <c r="Q329" t="s">
        <v>39</v>
      </c>
      <c r="R329" t="s">
        <v>40</v>
      </c>
      <c r="S329" t="s">
        <v>40</v>
      </c>
      <c r="T329" t="s">
        <v>40</v>
      </c>
      <c r="U329" t="s">
        <v>1564</v>
      </c>
    </row>
    <row r="330" spans="1:21" x14ac:dyDescent="0.25">
      <c r="A330">
        <v>31309125</v>
      </c>
      <c r="B330" t="s">
        <v>1611</v>
      </c>
      <c r="C330" t="str">
        <f>"9781032745473"</f>
        <v>9781032745473</v>
      </c>
      <c r="D330" t="str">
        <f>"9781040043295"</f>
        <v>9781040043295</v>
      </c>
      <c r="E330" s="1">
        <v>45444</v>
      </c>
      <c r="F330" s="1">
        <v>45412</v>
      </c>
      <c r="G330" t="s">
        <v>1612</v>
      </c>
      <c r="H330" t="s">
        <v>30</v>
      </c>
      <c r="J330" s="2">
        <v>95193040922</v>
      </c>
      <c r="L330" t="s">
        <v>38</v>
      </c>
      <c r="M330" t="s">
        <v>39</v>
      </c>
      <c r="N330" t="s">
        <v>40</v>
      </c>
      <c r="O330" t="s">
        <v>40</v>
      </c>
      <c r="P330" t="s">
        <v>39</v>
      </c>
      <c r="Q330" t="s">
        <v>39</v>
      </c>
      <c r="R330" t="s">
        <v>40</v>
      </c>
      <c r="S330" t="s">
        <v>40</v>
      </c>
      <c r="T330" t="s">
        <v>40</v>
      </c>
      <c r="U330" t="s">
        <v>1613</v>
      </c>
    </row>
    <row r="331" spans="1:21" x14ac:dyDescent="0.25">
      <c r="A331">
        <v>4717873</v>
      </c>
      <c r="B331" t="s">
        <v>653</v>
      </c>
      <c r="C331" t="str">
        <f>"9781629561011"</f>
        <v>9781629561011</v>
      </c>
      <c r="D331" t="str">
        <f>"9781351861847"</f>
        <v>9781351861847</v>
      </c>
      <c r="E331" s="1">
        <v>42495</v>
      </c>
      <c r="F331" s="1">
        <v>42658</v>
      </c>
      <c r="G331" t="s">
        <v>654</v>
      </c>
      <c r="H331" t="s">
        <v>655</v>
      </c>
    </row>
    <row r="332" spans="1:21" x14ac:dyDescent="0.25">
      <c r="A332">
        <v>7280747</v>
      </c>
      <c r="B332" t="s">
        <v>1392</v>
      </c>
      <c r="C332" t="str">
        <f>"9781032450919"</f>
        <v>9781032450919</v>
      </c>
      <c r="D332" t="str">
        <f>"9781000994797"</f>
        <v>9781000994797</v>
      </c>
      <c r="E332" s="1">
        <v>45170</v>
      </c>
      <c r="F332" s="1">
        <v>45150</v>
      </c>
      <c r="G332" t="s">
        <v>1393</v>
      </c>
      <c r="H332" t="s">
        <v>1394</v>
      </c>
      <c r="J332" s="2">
        <v>70195</v>
      </c>
      <c r="K332" t="s">
        <v>1395</v>
      </c>
    </row>
    <row r="333" spans="1:21" x14ac:dyDescent="0.25">
      <c r="A333">
        <v>30723251</v>
      </c>
      <c r="B333" t="s">
        <v>1455</v>
      </c>
      <c r="C333" t="str">
        <f>"9781032326023"</f>
        <v>9781032326023</v>
      </c>
      <c r="D333" t="str">
        <f>"9781000996586"</f>
        <v>9781000996586</v>
      </c>
      <c r="E333" s="1">
        <v>45231</v>
      </c>
      <c r="F333" s="1">
        <v>45169</v>
      </c>
      <c r="H333" t="s">
        <v>1456</v>
      </c>
    </row>
    <row r="334" spans="1:21" x14ac:dyDescent="0.25">
      <c r="A334">
        <v>1775321</v>
      </c>
      <c r="B334" t="s">
        <v>389</v>
      </c>
      <c r="C334" t="str">
        <f>"9780415820196"</f>
        <v>9780415820196</v>
      </c>
      <c r="D334" t="str">
        <f>"9781136725661"</f>
        <v>9781136725661</v>
      </c>
      <c r="E334" s="1">
        <v>41885</v>
      </c>
      <c r="F334" s="1">
        <v>41879</v>
      </c>
      <c r="G334" t="s">
        <v>390</v>
      </c>
      <c r="H334" t="s">
        <v>391</v>
      </c>
      <c r="I334" t="s">
        <v>392</v>
      </c>
      <c r="J334" t="s">
        <v>393</v>
      </c>
      <c r="K334" t="s">
        <v>394</v>
      </c>
      <c r="L334" t="s">
        <v>38</v>
      </c>
      <c r="M334" t="s">
        <v>39</v>
      </c>
      <c r="N334" t="s">
        <v>40</v>
      </c>
      <c r="O334" t="s">
        <v>40</v>
      </c>
      <c r="P334" t="s">
        <v>39</v>
      </c>
      <c r="Q334" t="s">
        <v>39</v>
      </c>
      <c r="R334" t="s">
        <v>40</v>
      </c>
      <c r="S334" t="s">
        <v>39</v>
      </c>
      <c r="T334" t="s">
        <v>40</v>
      </c>
      <c r="U334" t="s">
        <v>395</v>
      </c>
    </row>
    <row r="335" spans="1:21" x14ac:dyDescent="0.25">
      <c r="A335">
        <v>1798380</v>
      </c>
      <c r="B335" t="s">
        <v>415</v>
      </c>
      <c r="C335" t="str">
        <f>"9780582493506"</f>
        <v>9780582493506</v>
      </c>
      <c r="D335" t="str">
        <f>"9781317871255"</f>
        <v>9781317871255</v>
      </c>
      <c r="E335" s="1">
        <v>33882</v>
      </c>
      <c r="F335" s="1">
        <v>41908</v>
      </c>
      <c r="G335" t="s">
        <v>416</v>
      </c>
      <c r="H335" t="s">
        <v>391</v>
      </c>
      <c r="I335" t="s">
        <v>417</v>
      </c>
      <c r="J335">
        <v>813</v>
      </c>
      <c r="K335" t="s">
        <v>418</v>
      </c>
      <c r="L335" t="s">
        <v>38</v>
      </c>
      <c r="M335" t="s">
        <v>39</v>
      </c>
      <c r="N335" t="s">
        <v>40</v>
      </c>
      <c r="O335" t="s">
        <v>40</v>
      </c>
      <c r="P335" t="s">
        <v>39</v>
      </c>
      <c r="Q335" t="s">
        <v>39</v>
      </c>
      <c r="R335" t="s">
        <v>40</v>
      </c>
      <c r="S335" t="s">
        <v>39</v>
      </c>
      <c r="T335" t="s">
        <v>40</v>
      </c>
      <c r="U335" t="s">
        <v>419</v>
      </c>
    </row>
    <row r="336" spans="1:21" x14ac:dyDescent="0.25">
      <c r="A336">
        <v>3038324</v>
      </c>
      <c r="B336" t="s">
        <v>491</v>
      </c>
      <c r="C336" t="str">
        <f>"9780226402031"</f>
        <v>9780226402031</v>
      </c>
      <c r="D336" t="str">
        <f>"9780226402055"</f>
        <v>9780226402055</v>
      </c>
      <c r="E336" s="1">
        <v>41047</v>
      </c>
      <c r="F336" s="1">
        <v>41288</v>
      </c>
      <c r="G336" t="s">
        <v>492</v>
      </c>
      <c r="H336" t="s">
        <v>391</v>
      </c>
      <c r="I336" t="s">
        <v>493</v>
      </c>
      <c r="J336" t="s">
        <v>494</v>
      </c>
      <c r="K336" t="s">
        <v>495</v>
      </c>
      <c r="L336" t="s">
        <v>38</v>
      </c>
      <c r="M336" t="s">
        <v>39</v>
      </c>
      <c r="N336" t="s">
        <v>40</v>
      </c>
      <c r="O336" t="s">
        <v>40</v>
      </c>
      <c r="P336" t="s">
        <v>39</v>
      </c>
      <c r="Q336" t="s">
        <v>39</v>
      </c>
      <c r="R336" t="s">
        <v>39</v>
      </c>
      <c r="S336" t="s">
        <v>39</v>
      </c>
      <c r="T336" t="s">
        <v>39</v>
      </c>
      <c r="U336" t="s">
        <v>496</v>
      </c>
    </row>
    <row r="337" spans="1:21" x14ac:dyDescent="0.25">
      <c r="A337">
        <v>4595356</v>
      </c>
      <c r="B337" t="s">
        <v>623</v>
      </c>
      <c r="C337" t="str">
        <f>"9781138812611"</f>
        <v>9781138812611</v>
      </c>
      <c r="D337" t="str">
        <f>"9781317606833"</f>
        <v>9781317606833</v>
      </c>
      <c r="E337" s="1">
        <v>42563</v>
      </c>
      <c r="F337" s="1">
        <v>42567</v>
      </c>
      <c r="G337" t="s">
        <v>624</v>
      </c>
      <c r="H337" t="s">
        <v>391</v>
      </c>
      <c r="I337" t="s">
        <v>625</v>
      </c>
      <c r="J337" t="s">
        <v>626</v>
      </c>
      <c r="K337" t="s">
        <v>627</v>
      </c>
      <c r="L337" t="s">
        <v>38</v>
      </c>
      <c r="M337" t="s">
        <v>39</v>
      </c>
      <c r="N337" t="s">
        <v>40</v>
      </c>
      <c r="O337" t="s">
        <v>40</v>
      </c>
      <c r="P337" t="s">
        <v>39</v>
      </c>
      <c r="Q337" t="s">
        <v>39</v>
      </c>
      <c r="R337" t="s">
        <v>40</v>
      </c>
      <c r="S337" t="s">
        <v>39</v>
      </c>
      <c r="T337" t="s">
        <v>40</v>
      </c>
      <c r="U337" t="s">
        <v>628</v>
      </c>
    </row>
    <row r="338" spans="1:21" x14ac:dyDescent="0.25">
      <c r="A338">
        <v>4905783</v>
      </c>
      <c r="B338" t="s">
        <v>691</v>
      </c>
      <c r="C338" t="str">
        <f>"9781412811118"</f>
        <v>9781412811118</v>
      </c>
      <c r="D338" t="str">
        <f>"9781351496810"</f>
        <v>9781351496810</v>
      </c>
      <c r="E338" s="1">
        <v>40466</v>
      </c>
      <c r="F338" s="1">
        <v>42925</v>
      </c>
      <c r="G338" t="s">
        <v>692</v>
      </c>
      <c r="H338" t="s">
        <v>391</v>
      </c>
      <c r="I338" t="s">
        <v>693</v>
      </c>
      <c r="J338" s="2">
        <v>843912</v>
      </c>
      <c r="K338" t="s">
        <v>694</v>
      </c>
      <c r="L338" t="s">
        <v>38</v>
      </c>
      <c r="M338" t="s">
        <v>39</v>
      </c>
      <c r="N338" t="s">
        <v>40</v>
      </c>
      <c r="O338" t="s">
        <v>40</v>
      </c>
      <c r="P338" t="s">
        <v>39</v>
      </c>
      <c r="Q338" t="s">
        <v>39</v>
      </c>
      <c r="R338" t="s">
        <v>40</v>
      </c>
      <c r="S338" t="s">
        <v>39</v>
      </c>
      <c r="T338" t="s">
        <v>40</v>
      </c>
      <c r="U338" t="s">
        <v>695</v>
      </c>
    </row>
    <row r="339" spans="1:21" x14ac:dyDescent="0.25">
      <c r="A339">
        <v>5042561</v>
      </c>
      <c r="B339" t="s">
        <v>722</v>
      </c>
      <c r="C339" t="str">
        <f>"9781138510401"</f>
        <v>9781138510401</v>
      </c>
      <c r="D339" t="str">
        <f>"9781351517188"</f>
        <v>9781351517188</v>
      </c>
      <c r="E339" s="1">
        <v>41789</v>
      </c>
      <c r="F339" s="1">
        <v>42987</v>
      </c>
      <c r="G339" t="s">
        <v>723</v>
      </c>
      <c r="H339" t="s">
        <v>391</v>
      </c>
      <c r="I339" t="s">
        <v>724</v>
      </c>
      <c r="J339" t="s">
        <v>725</v>
      </c>
      <c r="K339" t="s">
        <v>726</v>
      </c>
      <c r="L339" t="s">
        <v>38</v>
      </c>
      <c r="M339" t="s">
        <v>39</v>
      </c>
      <c r="N339" t="s">
        <v>40</v>
      </c>
      <c r="O339" t="s">
        <v>40</v>
      </c>
      <c r="P339" t="s">
        <v>39</v>
      </c>
      <c r="Q339" t="s">
        <v>39</v>
      </c>
      <c r="R339" t="s">
        <v>40</v>
      </c>
      <c r="S339" t="s">
        <v>39</v>
      </c>
      <c r="T339" t="s">
        <v>40</v>
      </c>
      <c r="U339" t="s">
        <v>727</v>
      </c>
    </row>
    <row r="340" spans="1:21" x14ac:dyDescent="0.25">
      <c r="A340">
        <v>5409424</v>
      </c>
      <c r="B340" t="s">
        <v>782</v>
      </c>
      <c r="C340" t="str">
        <f>""</f>
        <v/>
      </c>
      <c r="D340" t="str">
        <f>"9782346022618"</f>
        <v>9782346022618</v>
      </c>
      <c r="E340" s="1">
        <v>42353</v>
      </c>
      <c r="F340" s="1">
        <v>43259</v>
      </c>
      <c r="G340" t="s">
        <v>783</v>
      </c>
      <c r="H340" t="s">
        <v>391</v>
      </c>
      <c r="J340">
        <v>840</v>
      </c>
      <c r="L340" t="s">
        <v>784</v>
      </c>
      <c r="M340" t="s">
        <v>39</v>
      </c>
      <c r="N340" t="s">
        <v>40</v>
      </c>
      <c r="O340" t="s">
        <v>40</v>
      </c>
      <c r="P340" t="s">
        <v>39</v>
      </c>
      <c r="Q340" t="s">
        <v>39</v>
      </c>
      <c r="R340" t="s">
        <v>40</v>
      </c>
      <c r="S340" t="s">
        <v>39</v>
      </c>
      <c r="T340" t="s">
        <v>39</v>
      </c>
      <c r="U340" t="s">
        <v>785</v>
      </c>
    </row>
    <row r="341" spans="1:21" x14ac:dyDescent="0.25">
      <c r="A341">
        <v>5410932</v>
      </c>
      <c r="B341" t="s">
        <v>788</v>
      </c>
      <c r="C341" t="str">
        <f>""</f>
        <v/>
      </c>
      <c r="D341" t="str">
        <f>"9782346048250"</f>
        <v>9782346048250</v>
      </c>
      <c r="E341" s="1">
        <v>42417</v>
      </c>
      <c r="F341" s="1">
        <v>43259</v>
      </c>
      <c r="G341" t="s">
        <v>789</v>
      </c>
      <c r="H341" t="s">
        <v>391</v>
      </c>
      <c r="J341">
        <v>840</v>
      </c>
      <c r="L341" t="s">
        <v>784</v>
      </c>
      <c r="M341" t="s">
        <v>39</v>
      </c>
      <c r="N341" t="s">
        <v>40</v>
      </c>
      <c r="O341" t="s">
        <v>40</v>
      </c>
      <c r="P341" t="s">
        <v>39</v>
      </c>
      <c r="Q341" t="s">
        <v>39</v>
      </c>
      <c r="R341" t="s">
        <v>40</v>
      </c>
      <c r="S341" t="s">
        <v>39</v>
      </c>
      <c r="T341" t="s">
        <v>40</v>
      </c>
      <c r="U341" t="s">
        <v>790</v>
      </c>
    </row>
    <row r="342" spans="1:21" x14ac:dyDescent="0.25">
      <c r="A342">
        <v>5414880</v>
      </c>
      <c r="B342" t="s">
        <v>791</v>
      </c>
      <c r="C342" t="str">
        <f>""</f>
        <v/>
      </c>
      <c r="D342" t="str">
        <f>"9782346072552"</f>
        <v>9782346072552</v>
      </c>
      <c r="E342" s="1">
        <v>42513</v>
      </c>
      <c r="F342" s="1">
        <v>43263</v>
      </c>
      <c r="G342" t="s">
        <v>792</v>
      </c>
      <c r="H342" t="s">
        <v>391</v>
      </c>
      <c r="J342">
        <v>840</v>
      </c>
      <c r="L342" t="s">
        <v>784</v>
      </c>
      <c r="M342" t="s">
        <v>39</v>
      </c>
      <c r="N342" t="s">
        <v>40</v>
      </c>
      <c r="O342" t="s">
        <v>40</v>
      </c>
      <c r="P342" t="s">
        <v>39</v>
      </c>
      <c r="Q342" t="s">
        <v>39</v>
      </c>
      <c r="R342" t="s">
        <v>40</v>
      </c>
      <c r="S342" t="s">
        <v>39</v>
      </c>
      <c r="T342" t="s">
        <v>40</v>
      </c>
      <c r="U342" t="s">
        <v>793</v>
      </c>
    </row>
    <row r="343" spans="1:21" x14ac:dyDescent="0.25">
      <c r="A343">
        <v>5415955</v>
      </c>
      <c r="B343" t="s">
        <v>794</v>
      </c>
      <c r="C343" t="str">
        <f>""</f>
        <v/>
      </c>
      <c r="D343" t="str">
        <f>"9782346103164"</f>
        <v>9782346103164</v>
      </c>
      <c r="E343" s="1">
        <v>42640</v>
      </c>
      <c r="F343" s="1">
        <v>43262</v>
      </c>
      <c r="G343" t="s">
        <v>795</v>
      </c>
      <c r="H343" t="s">
        <v>391</v>
      </c>
      <c r="J343">
        <v>840</v>
      </c>
      <c r="L343" t="s">
        <v>784</v>
      </c>
      <c r="M343" t="s">
        <v>39</v>
      </c>
      <c r="N343" t="s">
        <v>40</v>
      </c>
      <c r="O343" t="s">
        <v>40</v>
      </c>
      <c r="P343" t="s">
        <v>39</v>
      </c>
      <c r="Q343" t="s">
        <v>39</v>
      </c>
      <c r="R343" t="s">
        <v>40</v>
      </c>
      <c r="S343" t="s">
        <v>39</v>
      </c>
      <c r="T343" t="s">
        <v>40</v>
      </c>
      <c r="U343" t="s">
        <v>796</v>
      </c>
    </row>
    <row r="344" spans="1:21" x14ac:dyDescent="0.25">
      <c r="A344">
        <v>5420393</v>
      </c>
      <c r="B344" t="s">
        <v>797</v>
      </c>
      <c r="C344" t="str">
        <f>""</f>
        <v/>
      </c>
      <c r="D344" t="str">
        <f>"9782346079940"</f>
        <v>9782346079940</v>
      </c>
      <c r="E344" s="1">
        <v>42542</v>
      </c>
      <c r="F344" s="1">
        <v>43265</v>
      </c>
      <c r="G344" t="s">
        <v>783</v>
      </c>
      <c r="H344" t="s">
        <v>391</v>
      </c>
      <c r="J344">
        <v>840</v>
      </c>
      <c r="L344" t="s">
        <v>784</v>
      </c>
      <c r="M344" t="s">
        <v>39</v>
      </c>
      <c r="N344" t="s">
        <v>40</v>
      </c>
      <c r="O344" t="s">
        <v>40</v>
      </c>
      <c r="P344" t="s">
        <v>39</v>
      </c>
      <c r="Q344" t="s">
        <v>39</v>
      </c>
      <c r="R344" t="s">
        <v>40</v>
      </c>
      <c r="S344" t="s">
        <v>39</v>
      </c>
      <c r="T344" t="s">
        <v>40</v>
      </c>
      <c r="U344" t="s">
        <v>798</v>
      </c>
    </row>
    <row r="345" spans="1:21" x14ac:dyDescent="0.25">
      <c r="A345">
        <v>5614707</v>
      </c>
      <c r="B345" t="s">
        <v>821</v>
      </c>
      <c r="C345" t="str">
        <f>"9780367077389"</f>
        <v>9780367077389</v>
      </c>
      <c r="D345" t="str">
        <f>"9780429666360"</f>
        <v>9780429666360</v>
      </c>
      <c r="E345" s="1">
        <v>43426</v>
      </c>
      <c r="F345" s="1">
        <v>43449</v>
      </c>
      <c r="G345" t="s">
        <v>822</v>
      </c>
      <c r="H345" t="s">
        <v>391</v>
      </c>
      <c r="I345" t="s">
        <v>823</v>
      </c>
      <c r="J345" s="2">
        <v>8209354309033</v>
      </c>
      <c r="K345" t="s">
        <v>824</v>
      </c>
    </row>
    <row r="346" spans="1:21" x14ac:dyDescent="0.25">
      <c r="A346">
        <v>5848402</v>
      </c>
      <c r="B346" t="s">
        <v>891</v>
      </c>
      <c r="C346" t="str">
        <f>"9780367199272"</f>
        <v>9780367199272</v>
      </c>
      <c r="D346" t="str">
        <f>"9781000186512"</f>
        <v>9781000186512</v>
      </c>
      <c r="E346" s="1">
        <v>43704</v>
      </c>
      <c r="F346" s="1">
        <v>43687</v>
      </c>
      <c r="G346" t="s">
        <v>892</v>
      </c>
      <c r="H346" t="s">
        <v>391</v>
      </c>
      <c r="I346" t="s">
        <v>893</v>
      </c>
      <c r="J346" s="2">
        <v>823920996</v>
      </c>
      <c r="K346" t="s">
        <v>894</v>
      </c>
      <c r="L346" t="s">
        <v>38</v>
      </c>
      <c r="M346" t="s">
        <v>39</v>
      </c>
      <c r="N346" t="s">
        <v>40</v>
      </c>
      <c r="O346" t="s">
        <v>40</v>
      </c>
      <c r="P346" t="s">
        <v>39</v>
      </c>
      <c r="Q346" t="s">
        <v>39</v>
      </c>
      <c r="R346" t="s">
        <v>40</v>
      </c>
      <c r="S346" t="s">
        <v>39</v>
      </c>
      <c r="T346" t="s">
        <v>40</v>
      </c>
      <c r="U346" t="s">
        <v>895</v>
      </c>
    </row>
    <row r="347" spans="1:21" x14ac:dyDescent="0.25">
      <c r="A347">
        <v>7131536</v>
      </c>
      <c r="B347" t="s">
        <v>1165</v>
      </c>
      <c r="C347" t="str">
        <f>"9783455012897"</f>
        <v>9783455012897</v>
      </c>
      <c r="D347" t="str">
        <f>"9783455012903"</f>
        <v>9783455012903</v>
      </c>
      <c r="E347" s="1">
        <v>34151</v>
      </c>
      <c r="F347" s="1">
        <v>44871</v>
      </c>
      <c r="G347" t="s">
        <v>1153</v>
      </c>
      <c r="H347" t="s">
        <v>391</v>
      </c>
      <c r="J347" s="2">
        <v>833914</v>
      </c>
      <c r="L347" t="s">
        <v>973</v>
      </c>
      <c r="M347" t="s">
        <v>39</v>
      </c>
      <c r="N347" t="s">
        <v>40</v>
      </c>
      <c r="O347" t="s">
        <v>40</v>
      </c>
      <c r="P347" t="s">
        <v>39</v>
      </c>
      <c r="Q347" t="s">
        <v>39</v>
      </c>
      <c r="R347" t="s">
        <v>40</v>
      </c>
      <c r="S347" t="s">
        <v>39</v>
      </c>
      <c r="T347" t="s">
        <v>40</v>
      </c>
      <c r="U347" t="s">
        <v>1166</v>
      </c>
    </row>
    <row r="348" spans="1:21" x14ac:dyDescent="0.25">
      <c r="A348">
        <v>7237302</v>
      </c>
      <c r="B348" t="s">
        <v>1299</v>
      </c>
      <c r="C348" t="str">
        <f>"9780415972727"</f>
        <v>9780415972727</v>
      </c>
      <c r="D348" t="str">
        <f>"9781000938838"</f>
        <v>9781000938838</v>
      </c>
      <c r="E348" s="1">
        <v>38417</v>
      </c>
      <c r="F348" s="1">
        <v>45033</v>
      </c>
      <c r="G348" t="s">
        <v>1300</v>
      </c>
      <c r="H348" t="s">
        <v>391</v>
      </c>
      <c r="I348" t="s">
        <v>1301</v>
      </c>
      <c r="J348" t="s">
        <v>1302</v>
      </c>
      <c r="K348" t="s">
        <v>1303</v>
      </c>
      <c r="L348" t="s">
        <v>38</v>
      </c>
      <c r="M348" t="s">
        <v>39</v>
      </c>
      <c r="N348" t="s">
        <v>40</v>
      </c>
      <c r="O348" t="s">
        <v>40</v>
      </c>
      <c r="P348" t="s">
        <v>39</v>
      </c>
      <c r="Q348" t="s">
        <v>39</v>
      </c>
      <c r="R348" t="s">
        <v>40</v>
      </c>
      <c r="S348" t="s">
        <v>39</v>
      </c>
      <c r="T348" t="s">
        <v>40</v>
      </c>
      <c r="U348" t="s">
        <v>1304</v>
      </c>
    </row>
    <row r="349" spans="1:21" x14ac:dyDescent="0.25">
      <c r="A349">
        <v>7277620</v>
      </c>
      <c r="B349" t="s">
        <v>1376</v>
      </c>
      <c r="C349" t="str">
        <f>"9781032122229"</f>
        <v>9781032122229</v>
      </c>
      <c r="D349" t="str">
        <f>"9781000985757"</f>
        <v>9781000985757</v>
      </c>
      <c r="E349" s="1">
        <v>45140</v>
      </c>
      <c r="F349" s="1">
        <v>45141</v>
      </c>
      <c r="G349" t="s">
        <v>1377</v>
      </c>
      <c r="H349" t="s">
        <v>391</v>
      </c>
      <c r="I349" t="s">
        <v>1378</v>
      </c>
      <c r="J349" s="2">
        <v>80930094</v>
      </c>
      <c r="K349" t="s">
        <v>1379</v>
      </c>
    </row>
    <row r="350" spans="1:21" x14ac:dyDescent="0.25">
      <c r="A350">
        <v>31104608</v>
      </c>
      <c r="B350" t="s">
        <v>1565</v>
      </c>
      <c r="C350" t="str">
        <f>"9781032635453"</f>
        <v>9781032635453</v>
      </c>
      <c r="D350" t="str">
        <f>"9781040024560"</f>
        <v>9781040024560</v>
      </c>
      <c r="E350" s="1">
        <v>45413</v>
      </c>
      <c r="F350" s="1">
        <v>45327</v>
      </c>
      <c r="G350" t="s">
        <v>1566</v>
      </c>
      <c r="H350" t="s">
        <v>391</v>
      </c>
      <c r="I350" t="s">
        <v>1567</v>
      </c>
      <c r="J350" t="s">
        <v>1568</v>
      </c>
      <c r="K350" t="s">
        <v>1569</v>
      </c>
    </row>
    <row r="351" spans="1:21" x14ac:dyDescent="0.25">
      <c r="A351">
        <v>1582059</v>
      </c>
      <c r="B351" t="s">
        <v>296</v>
      </c>
      <c r="C351" t="str">
        <f>"9781579582166"</f>
        <v>9781579582166</v>
      </c>
      <c r="D351" t="str">
        <f>"9781135956905"</f>
        <v>9781135956905</v>
      </c>
      <c r="E351" s="1">
        <v>36892</v>
      </c>
      <c r="F351" s="1">
        <v>41625</v>
      </c>
      <c r="G351" t="s">
        <v>297</v>
      </c>
      <c r="H351" t="s">
        <v>298</v>
      </c>
    </row>
    <row r="352" spans="1:21" x14ac:dyDescent="0.25">
      <c r="A352">
        <v>5391342</v>
      </c>
      <c r="B352" t="s">
        <v>780</v>
      </c>
      <c r="C352" t="str">
        <f>"9781138281967"</f>
        <v>9781138281967</v>
      </c>
      <c r="D352" t="str">
        <f>"9781351104661"</f>
        <v>9781351104661</v>
      </c>
      <c r="E352" s="1">
        <v>43222</v>
      </c>
      <c r="F352" s="1">
        <v>43233</v>
      </c>
      <c r="G352" t="s">
        <v>781</v>
      </c>
      <c r="H352" t="s">
        <v>298</v>
      </c>
    </row>
    <row r="353" spans="1:21" x14ac:dyDescent="0.25">
      <c r="A353">
        <v>4865814</v>
      </c>
      <c r="B353" t="s">
        <v>680</v>
      </c>
      <c r="C353" t="str">
        <f>"9781412856904"</f>
        <v>9781412856904</v>
      </c>
      <c r="D353" t="str">
        <f>"9781351615006"</f>
        <v>9781351615006</v>
      </c>
      <c r="E353" s="1">
        <v>42246</v>
      </c>
      <c r="F353" s="1">
        <v>42915</v>
      </c>
      <c r="G353" t="s">
        <v>681</v>
      </c>
      <c r="H353" t="s">
        <v>682</v>
      </c>
    </row>
    <row r="354" spans="1:21" x14ac:dyDescent="0.25">
      <c r="A354">
        <v>242149</v>
      </c>
      <c r="B354" t="s">
        <v>61</v>
      </c>
      <c r="C354" t="str">
        <f>"9780415950121"</f>
        <v>9780415950121</v>
      </c>
      <c r="D354" t="str">
        <f>"9780203997925"</f>
        <v>9780203997925</v>
      </c>
      <c r="E354" s="1">
        <v>38355</v>
      </c>
      <c r="F354" s="1">
        <v>38686</v>
      </c>
      <c r="G354" t="s">
        <v>62</v>
      </c>
      <c r="H354" t="s">
        <v>63</v>
      </c>
    </row>
    <row r="355" spans="1:21" x14ac:dyDescent="0.25">
      <c r="A355">
        <v>1569857</v>
      </c>
      <c r="B355" t="s">
        <v>286</v>
      </c>
      <c r="C355" t="str">
        <f>"9780582505803"</f>
        <v>9780582505803</v>
      </c>
      <c r="D355" t="str">
        <f>"9781317870142"</f>
        <v>9781317870142</v>
      </c>
      <c r="E355" s="1">
        <v>39254</v>
      </c>
      <c r="F355" s="1">
        <v>41607</v>
      </c>
      <c r="G355" t="s">
        <v>287</v>
      </c>
      <c r="H355" t="s">
        <v>63</v>
      </c>
    </row>
    <row r="356" spans="1:21" x14ac:dyDescent="0.25">
      <c r="A356">
        <v>4578730</v>
      </c>
      <c r="B356" t="s">
        <v>606</v>
      </c>
      <c r="C356" t="str">
        <f>"9780582213180"</f>
        <v>9780582213180</v>
      </c>
      <c r="D356" t="str">
        <f>"9781315504155"</f>
        <v>9781315504155</v>
      </c>
      <c r="E356" s="1">
        <v>34407</v>
      </c>
      <c r="F356" s="1">
        <v>42553</v>
      </c>
      <c r="G356" t="s">
        <v>607</v>
      </c>
      <c r="H356" t="s">
        <v>63</v>
      </c>
      <c r="I356" t="s">
        <v>608</v>
      </c>
      <c r="J356">
        <v>327</v>
      </c>
      <c r="K356" t="s">
        <v>609</v>
      </c>
      <c r="L356" t="s">
        <v>38</v>
      </c>
      <c r="M356" t="s">
        <v>39</v>
      </c>
      <c r="N356" t="s">
        <v>40</v>
      </c>
      <c r="O356" t="s">
        <v>40</v>
      </c>
      <c r="P356" t="s">
        <v>39</v>
      </c>
      <c r="Q356" t="s">
        <v>39</v>
      </c>
      <c r="R356" t="s">
        <v>40</v>
      </c>
      <c r="S356" t="s">
        <v>39</v>
      </c>
      <c r="T356" t="s">
        <v>40</v>
      </c>
      <c r="U356" t="s">
        <v>610</v>
      </c>
    </row>
    <row r="357" spans="1:21" x14ac:dyDescent="0.25">
      <c r="A357">
        <v>4658934</v>
      </c>
      <c r="B357" t="s">
        <v>629</v>
      </c>
      <c r="C357" t="str">
        <f>"9781138786875"</f>
        <v>9781138786875</v>
      </c>
      <c r="D357" t="str">
        <f>"9781317662198"</f>
        <v>9781317662198</v>
      </c>
      <c r="E357" s="1">
        <v>42625</v>
      </c>
      <c r="F357" s="1">
        <v>42608</v>
      </c>
      <c r="G357" t="s">
        <v>630</v>
      </c>
      <c r="H357" t="s">
        <v>63</v>
      </c>
    </row>
    <row r="358" spans="1:21" x14ac:dyDescent="0.25">
      <c r="A358">
        <v>5351841</v>
      </c>
      <c r="B358" t="s">
        <v>755</v>
      </c>
      <c r="C358" t="str">
        <f>"9780765806376"</f>
        <v>9780765806376</v>
      </c>
      <c r="D358" t="str">
        <f>"9781351302319"</f>
        <v>9781351302319</v>
      </c>
      <c r="E358" s="1">
        <v>36860</v>
      </c>
      <c r="F358" s="1">
        <v>43210</v>
      </c>
      <c r="G358" t="s">
        <v>756</v>
      </c>
      <c r="H358" t="s">
        <v>63</v>
      </c>
      <c r="I358" t="s">
        <v>757</v>
      </c>
      <c r="K358" t="s">
        <v>758</v>
      </c>
    </row>
    <row r="359" spans="1:21" x14ac:dyDescent="0.25">
      <c r="A359">
        <v>6023035</v>
      </c>
      <c r="B359" t="s">
        <v>969</v>
      </c>
      <c r="C359" t="str">
        <f>"9780367302535"</f>
        <v>9780367302535</v>
      </c>
      <c r="D359" t="str">
        <f>"9781000311242"</f>
        <v>9781000311242</v>
      </c>
      <c r="E359" s="1">
        <v>44183</v>
      </c>
      <c r="F359" s="1">
        <v>43850</v>
      </c>
      <c r="G359" t="s">
        <v>970</v>
      </c>
      <c r="H359" t="s">
        <v>63</v>
      </c>
    </row>
    <row r="360" spans="1:21" x14ac:dyDescent="0.25">
      <c r="A360">
        <v>7191306</v>
      </c>
      <c r="B360" t="s">
        <v>1248</v>
      </c>
      <c r="C360" t="str">
        <f>"9781032278032"</f>
        <v>9781032278032</v>
      </c>
      <c r="D360" t="str">
        <f>"9781000858747"</f>
        <v>9781000858747</v>
      </c>
      <c r="E360" s="1">
        <v>45009</v>
      </c>
      <c r="F360" s="1">
        <v>44963</v>
      </c>
      <c r="G360" t="s">
        <v>1249</v>
      </c>
      <c r="H360" t="s">
        <v>63</v>
      </c>
    </row>
    <row r="361" spans="1:21" x14ac:dyDescent="0.25">
      <c r="A361">
        <v>7252685</v>
      </c>
      <c r="B361" t="s">
        <v>1311</v>
      </c>
      <c r="C361" t="str">
        <f>"9781032491929"</f>
        <v>9781032491929</v>
      </c>
      <c r="D361" t="str">
        <f>"9781000918595"</f>
        <v>9781000918595</v>
      </c>
      <c r="E361" s="1">
        <v>45108</v>
      </c>
      <c r="F361" s="1">
        <v>45071</v>
      </c>
      <c r="G361" t="s">
        <v>1312</v>
      </c>
      <c r="H361" t="s">
        <v>63</v>
      </c>
    </row>
    <row r="362" spans="1:21" x14ac:dyDescent="0.25">
      <c r="A362">
        <v>31195400</v>
      </c>
      <c r="B362" t="s">
        <v>1582</v>
      </c>
      <c r="C362" t="str">
        <f>"9781032215860"</f>
        <v>9781032215860</v>
      </c>
      <c r="D362" t="str">
        <f>"9781040000212"</f>
        <v>9781040000212</v>
      </c>
      <c r="E362" s="1">
        <v>45352</v>
      </c>
      <c r="F362" s="1">
        <v>45355</v>
      </c>
      <c r="G362" t="s">
        <v>1583</v>
      </c>
      <c r="H362" t="s">
        <v>63</v>
      </c>
    </row>
    <row r="363" spans="1:21" x14ac:dyDescent="0.25">
      <c r="A363">
        <v>1207118</v>
      </c>
      <c r="B363" t="s">
        <v>186</v>
      </c>
      <c r="C363" t="str">
        <f>"9780876305850"</f>
        <v>9780876305850</v>
      </c>
      <c r="D363" t="str">
        <f>"9781134851348"</f>
        <v>9781134851348</v>
      </c>
      <c r="E363" s="1">
        <v>33117</v>
      </c>
      <c r="F363" s="1">
        <v>41433</v>
      </c>
      <c r="G363" t="s">
        <v>187</v>
      </c>
      <c r="H363" t="s">
        <v>188</v>
      </c>
    </row>
    <row r="364" spans="1:21" x14ac:dyDescent="0.25">
      <c r="A364">
        <v>7208552</v>
      </c>
      <c r="B364" t="s">
        <v>1257</v>
      </c>
      <c r="C364" t="str">
        <f>"9781032424842"</f>
        <v>9781032424842</v>
      </c>
      <c r="D364" t="str">
        <f>"9781000855784"</f>
        <v>9781000855784</v>
      </c>
      <c r="E364" s="1">
        <v>45049</v>
      </c>
      <c r="F364" s="1">
        <v>44989</v>
      </c>
      <c r="G364" t="s">
        <v>1258</v>
      </c>
      <c r="H364" t="s">
        <v>188</v>
      </c>
    </row>
    <row r="365" spans="1:21" x14ac:dyDescent="0.25">
      <c r="A365">
        <v>30789867</v>
      </c>
      <c r="B365" t="s">
        <v>1492</v>
      </c>
      <c r="C365" t="str">
        <f>"9781032684864"</f>
        <v>9781032684864</v>
      </c>
      <c r="D365" t="str">
        <f>"9781003838098"</f>
        <v>9781003838098</v>
      </c>
      <c r="E365" s="1">
        <v>45281</v>
      </c>
      <c r="F365" s="1">
        <v>45217</v>
      </c>
      <c r="G365" t="s">
        <v>1493</v>
      </c>
      <c r="H365" t="s">
        <v>1494</v>
      </c>
    </row>
    <row r="366" spans="1:21" x14ac:dyDescent="0.25">
      <c r="A366">
        <v>1125189</v>
      </c>
      <c r="B366" t="s">
        <v>159</v>
      </c>
      <c r="C366" t="str">
        <f>"9780415609418"</f>
        <v>9780415609418</v>
      </c>
      <c r="D366" t="str">
        <f>"9781135093891"</f>
        <v>9781135093891</v>
      </c>
      <c r="E366" s="1">
        <v>41316</v>
      </c>
      <c r="F366" s="1">
        <v>41326</v>
      </c>
      <c r="G366" t="s">
        <v>160</v>
      </c>
      <c r="H366" t="s">
        <v>161</v>
      </c>
      <c r="I366" t="s">
        <v>162</v>
      </c>
      <c r="J366" t="s">
        <v>163</v>
      </c>
      <c r="K366" t="s">
        <v>164</v>
      </c>
      <c r="L366" t="s">
        <v>38</v>
      </c>
      <c r="M366" t="s">
        <v>39</v>
      </c>
      <c r="N366" t="s">
        <v>40</v>
      </c>
      <c r="O366" t="s">
        <v>40</v>
      </c>
      <c r="P366" t="s">
        <v>39</v>
      </c>
      <c r="Q366" t="s">
        <v>39</v>
      </c>
      <c r="R366" t="s">
        <v>40</v>
      </c>
      <c r="S366" t="s">
        <v>39</v>
      </c>
      <c r="T366" t="s">
        <v>40</v>
      </c>
      <c r="U366" t="s">
        <v>165</v>
      </c>
    </row>
    <row r="367" spans="1:21" x14ac:dyDescent="0.25">
      <c r="A367">
        <v>4507496</v>
      </c>
      <c r="B367" t="s">
        <v>582</v>
      </c>
      <c r="C367" t="str">
        <f>"9781138820913"</f>
        <v>9781138820913</v>
      </c>
      <c r="D367" t="str">
        <f>"9781317588450"</f>
        <v>9781317588450</v>
      </c>
      <c r="E367" s="1">
        <v>42474</v>
      </c>
      <c r="F367" s="1">
        <v>42497</v>
      </c>
      <c r="G367" t="s">
        <v>583</v>
      </c>
      <c r="H367" t="s">
        <v>161</v>
      </c>
    </row>
    <row r="368" spans="1:21" x14ac:dyDescent="0.25">
      <c r="A368">
        <v>5042449</v>
      </c>
      <c r="B368" t="s">
        <v>720</v>
      </c>
      <c r="C368" t="str">
        <f>"9781138511316"</f>
        <v>9781138511316</v>
      </c>
      <c r="D368" t="str">
        <f>"9781351510738"</f>
        <v>9781351510738</v>
      </c>
      <c r="E368" s="1">
        <v>41516</v>
      </c>
      <c r="F368" s="1">
        <v>42987</v>
      </c>
      <c r="G368" t="s">
        <v>721</v>
      </c>
      <c r="H368" t="s">
        <v>161</v>
      </c>
    </row>
    <row r="369" spans="1:8" x14ac:dyDescent="0.25">
      <c r="A369">
        <v>7131602</v>
      </c>
      <c r="B369" t="s">
        <v>1174</v>
      </c>
      <c r="C369" t="str">
        <f>"9783455005806"</f>
        <v>9783455005806</v>
      </c>
      <c r="D369" t="str">
        <f>"9783455810790"</f>
        <v>9783455810790</v>
      </c>
      <c r="E369" s="1">
        <v>41186</v>
      </c>
      <c r="F369" s="1">
        <v>44871</v>
      </c>
      <c r="G369" t="s">
        <v>1149</v>
      </c>
      <c r="H369" t="s">
        <v>161</v>
      </c>
    </row>
    <row r="370" spans="1:8" x14ac:dyDescent="0.25">
      <c r="A370">
        <v>7250408</v>
      </c>
      <c r="B370" t="s">
        <v>1305</v>
      </c>
      <c r="C370" t="str">
        <f>"9781032472911"</f>
        <v>9781032472911</v>
      </c>
      <c r="D370" t="str">
        <f>"9781000894707"</f>
        <v>9781000894707</v>
      </c>
      <c r="E370" s="1">
        <v>45112</v>
      </c>
      <c r="F370" s="1">
        <v>45064</v>
      </c>
      <c r="G370" t="s">
        <v>1306</v>
      </c>
      <c r="H370" t="s">
        <v>161</v>
      </c>
    </row>
    <row r="371" spans="1:8" x14ac:dyDescent="0.25">
      <c r="A371">
        <v>30751456</v>
      </c>
      <c r="B371" t="s">
        <v>1470</v>
      </c>
      <c r="C371" t="str">
        <f>"9781032606668"</f>
        <v>9781032606668</v>
      </c>
      <c r="D371" t="str">
        <f>"9781003802464"</f>
        <v>9781003802464</v>
      </c>
      <c r="E371" s="1">
        <v>45231</v>
      </c>
      <c r="F371" s="1">
        <v>45192</v>
      </c>
      <c r="G371" t="s">
        <v>1471</v>
      </c>
      <c r="H371" t="s">
        <v>161</v>
      </c>
    </row>
    <row r="372" spans="1:8" x14ac:dyDescent="0.25">
      <c r="A372">
        <v>30769668</v>
      </c>
      <c r="B372" t="s">
        <v>1488</v>
      </c>
      <c r="C372" t="str">
        <f>"9781032116624"</f>
        <v>9781032116624</v>
      </c>
      <c r="D372" t="str">
        <f>"9781000997132"</f>
        <v>9781000997132</v>
      </c>
      <c r="E372" s="1">
        <v>45259</v>
      </c>
      <c r="F372" s="1">
        <v>45204</v>
      </c>
      <c r="G372" t="s">
        <v>1489</v>
      </c>
      <c r="H372" t="s">
        <v>161</v>
      </c>
    </row>
    <row r="373" spans="1:8" x14ac:dyDescent="0.25">
      <c r="A373">
        <v>1046856</v>
      </c>
      <c r="B373" t="s">
        <v>147</v>
      </c>
      <c r="C373" t="str">
        <f>"9780415677929"</f>
        <v>9780415677929</v>
      </c>
      <c r="D373" t="str">
        <f>"9781136251573"</f>
        <v>9781136251573</v>
      </c>
      <c r="E373" s="1">
        <v>41163</v>
      </c>
      <c r="F373" s="1">
        <v>41205</v>
      </c>
      <c r="G373" t="s">
        <v>148</v>
      </c>
      <c r="H373" t="s">
        <v>149</v>
      </c>
    </row>
    <row r="374" spans="1:8" x14ac:dyDescent="0.25">
      <c r="A374">
        <v>166759</v>
      </c>
      <c r="B374" t="s">
        <v>26</v>
      </c>
      <c r="C374" t="str">
        <f>"9780415103565"</f>
        <v>9780415103565</v>
      </c>
      <c r="D374" t="str">
        <f>"9780203425442"</f>
        <v>9780203425442</v>
      </c>
      <c r="E374" s="1">
        <v>34828</v>
      </c>
      <c r="F374" s="1">
        <v>38169</v>
      </c>
      <c r="G374" t="s">
        <v>27</v>
      </c>
    </row>
    <row r="375" spans="1:8" x14ac:dyDescent="0.25">
      <c r="A375">
        <v>182691</v>
      </c>
      <c r="B375" t="s">
        <v>48</v>
      </c>
      <c r="C375" t="str">
        <f>"9780415326155"</f>
        <v>9780415326155</v>
      </c>
      <c r="D375" t="str">
        <f>"9780203508794"</f>
        <v>9780203508794</v>
      </c>
      <c r="E375" s="1">
        <v>37972</v>
      </c>
      <c r="F375" s="1">
        <v>38317</v>
      </c>
      <c r="G375" t="s">
        <v>49</v>
      </c>
    </row>
    <row r="376" spans="1:8" x14ac:dyDescent="0.25">
      <c r="A376">
        <v>199499</v>
      </c>
      <c r="B376" t="s">
        <v>50</v>
      </c>
      <c r="C376" t="str">
        <f>"9780415344845"</f>
        <v>9780415344845</v>
      </c>
      <c r="D376" t="str">
        <f>"9780203340547"</f>
        <v>9780203340547</v>
      </c>
      <c r="E376" s="1">
        <v>38344</v>
      </c>
      <c r="F376" s="1">
        <v>41738</v>
      </c>
      <c r="G376" t="s">
        <v>51</v>
      </c>
    </row>
    <row r="377" spans="1:8" x14ac:dyDescent="0.25">
      <c r="A377">
        <v>324920</v>
      </c>
      <c r="B377" t="s">
        <v>70</v>
      </c>
      <c r="C377" t="str">
        <f>"9780415366267"</f>
        <v>9780415366267</v>
      </c>
      <c r="D377" t="str">
        <f>"9780203018897"</f>
        <v>9780203018897</v>
      </c>
      <c r="E377" s="1">
        <v>39349</v>
      </c>
      <c r="F377" s="1">
        <v>39481</v>
      </c>
      <c r="G377" t="s">
        <v>71</v>
      </c>
    </row>
    <row r="378" spans="1:8" x14ac:dyDescent="0.25">
      <c r="A378">
        <v>465388</v>
      </c>
      <c r="B378" t="s">
        <v>78</v>
      </c>
      <c r="C378" t="str">
        <f>"9780415778992"</f>
        <v>9780415778992</v>
      </c>
      <c r="D378" t="str">
        <f>"9780203870341"</f>
        <v>9780203870341</v>
      </c>
      <c r="E378" s="1">
        <v>40198</v>
      </c>
      <c r="F378" s="1">
        <v>40245</v>
      </c>
      <c r="G378" t="s">
        <v>79</v>
      </c>
    </row>
    <row r="379" spans="1:8" x14ac:dyDescent="0.25">
      <c r="A379">
        <v>530334</v>
      </c>
      <c r="B379" t="s">
        <v>89</v>
      </c>
      <c r="C379" t="str">
        <f>"9780415496933"</f>
        <v>9780415496933</v>
      </c>
      <c r="D379" t="str">
        <f>"9780203856659"</f>
        <v>9780203856659</v>
      </c>
      <c r="E379" s="1">
        <v>40350</v>
      </c>
      <c r="F379" s="1">
        <v>40340</v>
      </c>
      <c r="G379" t="s">
        <v>90</v>
      </c>
    </row>
    <row r="380" spans="1:8" x14ac:dyDescent="0.25">
      <c r="A380">
        <v>534854</v>
      </c>
      <c r="B380" t="s">
        <v>91</v>
      </c>
      <c r="C380" t="str">
        <f>"9780750663922"</f>
        <v>9780750663922</v>
      </c>
      <c r="D380" t="str">
        <f>"9780080493114"</f>
        <v>9780080493114</v>
      </c>
      <c r="E380" s="1">
        <v>38827</v>
      </c>
      <c r="F380" s="1">
        <v>40320</v>
      </c>
      <c r="G380" t="s">
        <v>92</v>
      </c>
    </row>
    <row r="381" spans="1:8" x14ac:dyDescent="0.25">
      <c r="A381">
        <v>614645</v>
      </c>
      <c r="B381" t="s">
        <v>99</v>
      </c>
      <c r="C381" t="str">
        <f>"9780415585262"</f>
        <v>9780415585262</v>
      </c>
      <c r="D381" t="str">
        <f>"9780203845585"</f>
        <v>9780203845585</v>
      </c>
      <c r="E381" s="1">
        <v>40480</v>
      </c>
      <c r="F381" s="1">
        <v>40578</v>
      </c>
      <c r="G381" t="s">
        <v>100</v>
      </c>
    </row>
    <row r="382" spans="1:8" x14ac:dyDescent="0.25">
      <c r="A382">
        <v>615860</v>
      </c>
      <c r="B382" t="s">
        <v>103</v>
      </c>
      <c r="C382" t="str">
        <f>"9781444104875"</f>
        <v>9781444104875</v>
      </c>
      <c r="D382" t="str">
        <f>"9781444128277"</f>
        <v>9781444128277</v>
      </c>
      <c r="E382" s="1">
        <v>40354</v>
      </c>
      <c r="F382" s="1">
        <v>42334</v>
      </c>
      <c r="G382" t="s">
        <v>104</v>
      </c>
    </row>
    <row r="383" spans="1:8" x14ac:dyDescent="0.25">
      <c r="A383">
        <v>672538</v>
      </c>
      <c r="B383" t="s">
        <v>111</v>
      </c>
      <c r="C383" t="str">
        <f>"9781579583187"</f>
        <v>9781579583187</v>
      </c>
      <c r="D383" t="str">
        <f>"9780203819357"</f>
        <v>9780203819357</v>
      </c>
      <c r="E383" s="1">
        <v>37012</v>
      </c>
      <c r="F383" s="1">
        <v>41877</v>
      </c>
      <c r="G383" t="s">
        <v>112</v>
      </c>
    </row>
    <row r="384" spans="1:8" x14ac:dyDescent="0.25">
      <c r="A384">
        <v>845928</v>
      </c>
      <c r="B384" t="s">
        <v>118</v>
      </c>
      <c r="C384" t="str">
        <f>"9780192880338"</f>
        <v>9780192880338</v>
      </c>
      <c r="D384" t="str">
        <f>"9780191610790"</f>
        <v>9780191610790</v>
      </c>
      <c r="E384" s="1">
        <v>40028</v>
      </c>
      <c r="F384" s="1">
        <v>40960</v>
      </c>
      <c r="G384" t="s">
        <v>119</v>
      </c>
    </row>
    <row r="385" spans="1:7" x14ac:dyDescent="0.25">
      <c r="A385">
        <v>957439</v>
      </c>
      <c r="B385" t="s">
        <v>122</v>
      </c>
      <c r="C385" t="str">
        <f>"9780415885546"</f>
        <v>9780415885546</v>
      </c>
      <c r="D385" t="str">
        <f>"9780203839454"</f>
        <v>9780203839454</v>
      </c>
      <c r="E385" s="1">
        <v>40842</v>
      </c>
      <c r="F385" s="1">
        <v>41095</v>
      </c>
      <c r="G385" t="s">
        <v>123</v>
      </c>
    </row>
    <row r="386" spans="1:7" x14ac:dyDescent="0.25">
      <c r="A386">
        <v>957552</v>
      </c>
      <c r="B386" t="s">
        <v>124</v>
      </c>
      <c r="C386" t="str">
        <f>"9780415585385"</f>
        <v>9780415585385</v>
      </c>
      <c r="D386" t="str">
        <f>"9780203845073"</f>
        <v>9780203845073</v>
      </c>
      <c r="E386" s="1">
        <v>40486</v>
      </c>
      <c r="F386" s="1">
        <v>41095</v>
      </c>
      <c r="G386" t="s">
        <v>125</v>
      </c>
    </row>
    <row r="387" spans="1:7" x14ac:dyDescent="0.25">
      <c r="A387">
        <v>1107725</v>
      </c>
      <c r="B387" t="s">
        <v>157</v>
      </c>
      <c r="C387" t="str">
        <f>"9780192823823"</f>
        <v>9780192823823</v>
      </c>
      <c r="D387" t="str">
        <f>"9780191505768"</f>
        <v>9780191505768</v>
      </c>
      <c r="E387" s="1">
        <v>34242</v>
      </c>
      <c r="F387" s="1">
        <v>41275</v>
      </c>
      <c r="G387" t="s">
        <v>158</v>
      </c>
    </row>
    <row r="388" spans="1:7" x14ac:dyDescent="0.25">
      <c r="A388">
        <v>1479844</v>
      </c>
      <c r="B388" t="s">
        <v>253</v>
      </c>
      <c r="C388" t="str">
        <f>"9780415908320"</f>
        <v>9780415908320</v>
      </c>
      <c r="D388" t="str">
        <f>"9781135208134"</f>
        <v>9781135208134</v>
      </c>
      <c r="E388" s="1">
        <v>34648</v>
      </c>
      <c r="F388" s="1">
        <v>41562</v>
      </c>
      <c r="G388" t="s">
        <v>254</v>
      </c>
    </row>
    <row r="389" spans="1:7" x14ac:dyDescent="0.25">
      <c r="A389">
        <v>1596605</v>
      </c>
      <c r="B389" t="s">
        <v>299</v>
      </c>
      <c r="C389" t="str">
        <f>"9780582317147"</f>
        <v>9780582317147</v>
      </c>
      <c r="D389" t="str">
        <f>"9781317882923"</f>
        <v>9781317882923</v>
      </c>
      <c r="E389" s="1">
        <v>36474</v>
      </c>
      <c r="F389" s="1">
        <v>41662</v>
      </c>
      <c r="G389" t="s">
        <v>300</v>
      </c>
    </row>
    <row r="390" spans="1:7" x14ac:dyDescent="0.25">
      <c r="A390">
        <v>1596790</v>
      </c>
      <c r="B390" t="s">
        <v>301</v>
      </c>
      <c r="C390" t="str">
        <f>"9780582256507"</f>
        <v>9780582256507</v>
      </c>
      <c r="D390" t="str">
        <f>"9781317890577"</f>
        <v>9781317890577</v>
      </c>
      <c r="E390" s="1">
        <v>34631</v>
      </c>
      <c r="F390" s="1">
        <v>41662</v>
      </c>
      <c r="G390" t="s">
        <v>302</v>
      </c>
    </row>
    <row r="391" spans="1:7" x14ac:dyDescent="0.25">
      <c r="A391">
        <v>1688468</v>
      </c>
      <c r="B391" t="s">
        <v>322</v>
      </c>
      <c r="C391" t="str">
        <f>"9781408127421"</f>
        <v>9781408127421</v>
      </c>
      <c r="D391" t="str">
        <f>"9781408138724"</f>
        <v>9781408138724</v>
      </c>
      <c r="E391" s="1">
        <v>40194</v>
      </c>
      <c r="F391" s="1">
        <v>41844</v>
      </c>
      <c r="G391" t="s">
        <v>323</v>
      </c>
    </row>
    <row r="392" spans="1:7" x14ac:dyDescent="0.25">
      <c r="A392">
        <v>1710805</v>
      </c>
      <c r="B392" t="s">
        <v>348</v>
      </c>
      <c r="C392" t="str">
        <f>"9780789030207"</f>
        <v>9780789030207</v>
      </c>
      <c r="D392" t="str">
        <f>"9781317954750"</f>
        <v>9781317954750</v>
      </c>
      <c r="E392" s="1">
        <v>38777</v>
      </c>
      <c r="F392" s="1">
        <v>41808</v>
      </c>
      <c r="G392" t="s">
        <v>349</v>
      </c>
    </row>
    <row r="393" spans="1:7" x14ac:dyDescent="0.25">
      <c r="A393">
        <v>1733947</v>
      </c>
      <c r="B393" t="s">
        <v>350</v>
      </c>
      <c r="C393" t="str">
        <f>"9780582772946"</f>
        <v>9780582772946</v>
      </c>
      <c r="D393" t="str">
        <f>"9781317868286"</f>
        <v>9781317868286</v>
      </c>
      <c r="E393" s="1">
        <v>38239</v>
      </c>
      <c r="F393" s="1">
        <v>41831</v>
      </c>
      <c r="G393" t="s">
        <v>351</v>
      </c>
    </row>
    <row r="394" spans="1:7" x14ac:dyDescent="0.25">
      <c r="A394">
        <v>1733998</v>
      </c>
      <c r="B394" t="s">
        <v>358</v>
      </c>
      <c r="C394" t="str">
        <f>"9780582894150"</f>
        <v>9780582894150</v>
      </c>
      <c r="D394" t="str">
        <f>"9781317867500"</f>
        <v>9781317867500</v>
      </c>
      <c r="E394" s="1">
        <v>40283</v>
      </c>
      <c r="F394" s="1">
        <v>41831</v>
      </c>
      <c r="G394" t="s">
        <v>359</v>
      </c>
    </row>
    <row r="395" spans="1:7" x14ac:dyDescent="0.25">
      <c r="A395">
        <v>1743950</v>
      </c>
      <c r="B395" t="s">
        <v>369</v>
      </c>
      <c r="C395" t="str">
        <f>"9780789004826"</f>
        <v>9780789004826</v>
      </c>
      <c r="D395" t="str">
        <f>"9781317790259"</f>
        <v>9781317790259</v>
      </c>
      <c r="E395" s="1">
        <v>36039</v>
      </c>
      <c r="F395" s="1">
        <v>41837</v>
      </c>
      <c r="G395" t="s">
        <v>370</v>
      </c>
    </row>
    <row r="396" spans="1:7" x14ac:dyDescent="0.25">
      <c r="A396">
        <v>1747315</v>
      </c>
      <c r="B396" t="s">
        <v>371</v>
      </c>
      <c r="C396" t="str">
        <f>"9781408245347"</f>
        <v>9781408245347</v>
      </c>
      <c r="D396" t="str">
        <f>"9781317861683"</f>
        <v>9781317861683</v>
      </c>
      <c r="E396" s="1">
        <v>41382</v>
      </c>
      <c r="F396" s="1">
        <v>42334</v>
      </c>
      <c r="G396" t="s">
        <v>372</v>
      </c>
    </row>
    <row r="397" spans="1:7" x14ac:dyDescent="0.25">
      <c r="A397">
        <v>1782390</v>
      </c>
      <c r="B397" t="s">
        <v>407</v>
      </c>
      <c r="C397" t="str">
        <f>"9781405874458"</f>
        <v>9781405874458</v>
      </c>
      <c r="D397" t="str">
        <f>"9781317863663"</f>
        <v>9781317863663</v>
      </c>
      <c r="E397" s="1">
        <v>40647</v>
      </c>
      <c r="F397" s="1">
        <v>42334</v>
      </c>
      <c r="G397" t="s">
        <v>408</v>
      </c>
    </row>
    <row r="398" spans="1:7" x14ac:dyDescent="0.25">
      <c r="A398">
        <v>1968807</v>
      </c>
      <c r="B398" t="s">
        <v>465</v>
      </c>
      <c r="C398" t="str">
        <f>"9780765625106"</f>
        <v>9780765625106</v>
      </c>
      <c r="D398" t="str">
        <f>"9781317456117"</f>
        <v>9781317456117</v>
      </c>
      <c r="E398" s="1">
        <v>40252</v>
      </c>
      <c r="F398" s="1">
        <v>42334</v>
      </c>
      <c r="G398" t="s">
        <v>466</v>
      </c>
    </row>
    <row r="399" spans="1:7" x14ac:dyDescent="0.25">
      <c r="A399">
        <v>1974448</v>
      </c>
      <c r="B399" t="s">
        <v>467</v>
      </c>
      <c r="C399" t="str">
        <f>"9781563247026"</f>
        <v>9781563247026</v>
      </c>
      <c r="D399" t="str">
        <f>"9781315703381"</f>
        <v>9781315703381</v>
      </c>
      <c r="E399" s="1">
        <v>35430</v>
      </c>
      <c r="F399" s="1">
        <v>35430</v>
      </c>
      <c r="G399" t="s">
        <v>468</v>
      </c>
    </row>
    <row r="400" spans="1:7" x14ac:dyDescent="0.25">
      <c r="A400">
        <v>1975323</v>
      </c>
      <c r="B400" t="s">
        <v>469</v>
      </c>
      <c r="C400" t="str">
        <f>"9780765634849"</f>
        <v>9780765634849</v>
      </c>
      <c r="D400" t="str">
        <f>"9781317478409"</f>
        <v>9781317478409</v>
      </c>
      <c r="E400" s="1">
        <v>41516</v>
      </c>
      <c r="F400" s="1">
        <v>42066</v>
      </c>
      <c r="G400" t="s">
        <v>470</v>
      </c>
    </row>
    <row r="401" spans="1:7" x14ac:dyDescent="0.25">
      <c r="A401">
        <v>2039014</v>
      </c>
      <c r="B401" t="s">
        <v>485</v>
      </c>
      <c r="C401" t="str">
        <f>"9781138802698"</f>
        <v>9781138802698</v>
      </c>
      <c r="D401" t="str">
        <f>"9781317496434"</f>
        <v>9781317496434</v>
      </c>
      <c r="E401" s="1">
        <v>42122</v>
      </c>
      <c r="F401" s="1">
        <v>42125</v>
      </c>
      <c r="G401" t="s">
        <v>486</v>
      </c>
    </row>
    <row r="402" spans="1:7" x14ac:dyDescent="0.25">
      <c r="A402">
        <v>3061251</v>
      </c>
      <c r="B402" t="s">
        <v>497</v>
      </c>
      <c r="C402" t="str">
        <f>"9780415669825"</f>
        <v>9780415669825</v>
      </c>
      <c r="D402" t="str">
        <f>"9780203593691"</f>
        <v>9780203593691</v>
      </c>
      <c r="E402" s="1">
        <v>41396</v>
      </c>
      <c r="F402" s="1">
        <v>41780</v>
      </c>
      <c r="G402" t="s">
        <v>498</v>
      </c>
    </row>
    <row r="403" spans="1:7" x14ac:dyDescent="0.25">
      <c r="A403">
        <v>3569300</v>
      </c>
      <c r="B403" t="s">
        <v>523</v>
      </c>
      <c r="C403" t="str">
        <f>"9780765634832"</f>
        <v>9780765634832</v>
      </c>
      <c r="D403" t="str">
        <f>"9781315671536"</f>
        <v>9781315671536</v>
      </c>
      <c r="E403" s="1">
        <v>41547</v>
      </c>
      <c r="F403" s="1">
        <v>42165</v>
      </c>
      <c r="G403" t="s">
        <v>470</v>
      </c>
    </row>
    <row r="404" spans="1:7" x14ac:dyDescent="0.25">
      <c r="A404">
        <v>3569546</v>
      </c>
      <c r="B404" t="s">
        <v>524</v>
      </c>
      <c r="C404" t="str">
        <f>"9781563244773"</f>
        <v>9781563244773</v>
      </c>
      <c r="D404" t="str">
        <f>"9781315706825"</f>
        <v>9781315706825</v>
      </c>
      <c r="E404" s="1">
        <v>34789</v>
      </c>
      <c r="F404" s="1">
        <v>42174</v>
      </c>
      <c r="G404" t="s">
        <v>525</v>
      </c>
    </row>
    <row r="405" spans="1:7" x14ac:dyDescent="0.25">
      <c r="A405">
        <v>3569888</v>
      </c>
      <c r="B405" t="s">
        <v>526</v>
      </c>
      <c r="C405" t="str">
        <f>"9780765643353"</f>
        <v>9780765643353</v>
      </c>
      <c r="D405" t="str">
        <f>"9781315719405"</f>
        <v>9781315719405</v>
      </c>
      <c r="E405" s="1">
        <v>42233</v>
      </c>
      <c r="F405" s="1">
        <v>42206</v>
      </c>
      <c r="G405" t="s">
        <v>527</v>
      </c>
    </row>
    <row r="406" spans="1:7" x14ac:dyDescent="0.25">
      <c r="A406">
        <v>3569962</v>
      </c>
      <c r="B406" t="s">
        <v>528</v>
      </c>
      <c r="C406" t="str">
        <f>"9780765627285"</f>
        <v>9780765627285</v>
      </c>
      <c r="D406" t="str">
        <f>"9781315701615"</f>
        <v>9781315701615</v>
      </c>
      <c r="E406" s="1">
        <v>40678</v>
      </c>
      <c r="F406" s="1">
        <v>42209</v>
      </c>
      <c r="G406" t="s">
        <v>529</v>
      </c>
    </row>
    <row r="407" spans="1:7" x14ac:dyDescent="0.25">
      <c r="A407">
        <v>3572093</v>
      </c>
      <c r="B407" t="s">
        <v>530</v>
      </c>
      <c r="C407" t="str">
        <f>"9789076998145"</f>
        <v>9789076998145</v>
      </c>
      <c r="D407" t="str">
        <f>"9789086865109"</f>
        <v>9789086865109</v>
      </c>
      <c r="E407" s="1">
        <v>37795</v>
      </c>
      <c r="F407" s="1">
        <v>41381</v>
      </c>
      <c r="G407" t="s">
        <v>531</v>
      </c>
    </row>
    <row r="408" spans="1:7" x14ac:dyDescent="0.25">
      <c r="A408">
        <v>4186343</v>
      </c>
      <c r="B408" t="s">
        <v>546</v>
      </c>
      <c r="C408" t="str">
        <f>"9781594514081"</f>
        <v>9781594514081</v>
      </c>
      <c r="D408" t="str">
        <f>"9781315636191"</f>
        <v>9781315636191</v>
      </c>
      <c r="E408" s="1">
        <v>39128</v>
      </c>
      <c r="F408" s="1">
        <v>42342</v>
      </c>
      <c r="G408" t="s">
        <v>547</v>
      </c>
    </row>
    <row r="409" spans="1:7" x14ac:dyDescent="0.25">
      <c r="A409">
        <v>4332800</v>
      </c>
      <c r="B409" t="s">
        <v>567</v>
      </c>
      <c r="C409" t="str">
        <f>"9780981576978"</f>
        <v>9780981576978</v>
      </c>
      <c r="D409" t="str">
        <f>"9781317261599"</f>
        <v>9781317261599</v>
      </c>
      <c r="E409" s="1">
        <v>39783</v>
      </c>
      <c r="F409" s="1">
        <v>42379</v>
      </c>
      <c r="G409" t="s">
        <v>568</v>
      </c>
    </row>
    <row r="410" spans="1:7" x14ac:dyDescent="0.25">
      <c r="A410">
        <v>4387811</v>
      </c>
      <c r="B410" t="s">
        <v>574</v>
      </c>
      <c r="C410" t="str">
        <f>"9781138774780"</f>
        <v>9781138774780</v>
      </c>
      <c r="D410" t="str">
        <f>"9781317277866"</f>
        <v>9781317277866</v>
      </c>
      <c r="E410" s="1">
        <v>42417</v>
      </c>
      <c r="F410" s="1">
        <v>42899</v>
      </c>
      <c r="G410" t="s">
        <v>575</v>
      </c>
    </row>
    <row r="411" spans="1:7" x14ac:dyDescent="0.25">
      <c r="A411">
        <v>4513465</v>
      </c>
      <c r="B411" t="s">
        <v>589</v>
      </c>
      <c r="C411" t="str">
        <f>"9780415508001"</f>
        <v>9780415508001</v>
      </c>
      <c r="D411" t="str">
        <f>"9781317562108"</f>
        <v>9781317562108</v>
      </c>
      <c r="E411" s="1">
        <v>42499</v>
      </c>
      <c r="F411" s="1">
        <v>42497</v>
      </c>
      <c r="G411" t="s">
        <v>590</v>
      </c>
    </row>
    <row r="412" spans="1:7" x14ac:dyDescent="0.25">
      <c r="A412">
        <v>4523729</v>
      </c>
      <c r="B412" t="s">
        <v>596</v>
      </c>
      <c r="C412" t="str">
        <f>"9781138852617"</f>
        <v>9781138852617</v>
      </c>
      <c r="D412" t="str">
        <f>"9781317276289"</f>
        <v>9781317276289</v>
      </c>
      <c r="E412" s="1">
        <v>42492</v>
      </c>
      <c r="F412" s="1">
        <v>42497</v>
      </c>
      <c r="G412" t="s">
        <v>597</v>
      </c>
    </row>
    <row r="413" spans="1:7" x14ac:dyDescent="0.25">
      <c r="A413">
        <v>4530541</v>
      </c>
      <c r="B413" t="s">
        <v>598</v>
      </c>
      <c r="C413" t="str">
        <f>"9780415670364"</f>
        <v>9780415670364</v>
      </c>
      <c r="D413" t="str">
        <f>"9781317221234"</f>
        <v>9781317221234</v>
      </c>
      <c r="E413" s="1">
        <v>42507</v>
      </c>
      <c r="F413" s="1">
        <v>42511</v>
      </c>
      <c r="G413" t="s">
        <v>599</v>
      </c>
    </row>
    <row r="414" spans="1:7" x14ac:dyDescent="0.25">
      <c r="A414">
        <v>4682515</v>
      </c>
      <c r="B414" t="s">
        <v>635</v>
      </c>
      <c r="C414" t="str">
        <f>"9789086862887"</f>
        <v>9789086862887</v>
      </c>
      <c r="D414" t="str">
        <f>"9789086868346"</f>
        <v>9789086868346</v>
      </c>
      <c r="E414" s="1">
        <v>38505</v>
      </c>
      <c r="F414" s="1">
        <v>42706</v>
      </c>
      <c r="G414" t="s">
        <v>636</v>
      </c>
    </row>
    <row r="415" spans="1:7" x14ac:dyDescent="0.25">
      <c r="A415">
        <v>4692332</v>
      </c>
      <c r="B415" t="s">
        <v>649</v>
      </c>
      <c r="C415" t="str">
        <f>"9781598743906"</f>
        <v>9781598743906</v>
      </c>
      <c r="D415" t="str">
        <f>"9781315418087"</f>
        <v>9781315418087</v>
      </c>
      <c r="E415" s="1">
        <v>39859</v>
      </c>
      <c r="F415" s="1">
        <v>42633</v>
      </c>
      <c r="G415" t="s">
        <v>650</v>
      </c>
    </row>
    <row r="416" spans="1:7" x14ac:dyDescent="0.25">
      <c r="A416">
        <v>4702298</v>
      </c>
      <c r="B416" t="s">
        <v>651</v>
      </c>
      <c r="C416" t="str">
        <f>"9780199536566"</f>
        <v>9780199536566</v>
      </c>
      <c r="D416" t="str">
        <f>"9780191560514"</f>
        <v>9780191560514</v>
      </c>
      <c r="E416" s="1">
        <v>39661</v>
      </c>
      <c r="F416" s="1">
        <v>42644</v>
      </c>
      <c r="G416" t="s">
        <v>652</v>
      </c>
    </row>
    <row r="417" spans="1:7" x14ac:dyDescent="0.25">
      <c r="A417">
        <v>4732364</v>
      </c>
      <c r="B417" t="s">
        <v>656</v>
      </c>
      <c r="C417" t="str">
        <f>"9780205693580"</f>
        <v>9780205693580</v>
      </c>
      <c r="D417" t="str">
        <f>"9781315509884"</f>
        <v>9781315509884</v>
      </c>
      <c r="E417" s="1">
        <v>42620</v>
      </c>
      <c r="F417" s="1">
        <v>42678</v>
      </c>
      <c r="G417" t="s">
        <v>657</v>
      </c>
    </row>
    <row r="418" spans="1:7" x14ac:dyDescent="0.25">
      <c r="A418">
        <v>4757577</v>
      </c>
      <c r="B418" t="s">
        <v>658</v>
      </c>
      <c r="C418" t="str">
        <f>"9781138961159"</f>
        <v>9781138961159</v>
      </c>
      <c r="D418" t="str">
        <f>"9781317242130"</f>
        <v>9781317242130</v>
      </c>
      <c r="E418" s="1">
        <v>42515</v>
      </c>
      <c r="F418" s="1">
        <v>42710</v>
      </c>
      <c r="G418" t="s">
        <v>659</v>
      </c>
    </row>
    <row r="419" spans="1:7" x14ac:dyDescent="0.25">
      <c r="A419">
        <v>4758286</v>
      </c>
      <c r="B419" t="s">
        <v>660</v>
      </c>
      <c r="C419" t="str">
        <f>"9780130329813"</f>
        <v>9780130329813</v>
      </c>
      <c r="D419" t="str">
        <f>"9781317347781"</f>
        <v>9781317347781</v>
      </c>
      <c r="E419" s="1">
        <v>37986</v>
      </c>
      <c r="F419" s="1">
        <v>42710</v>
      </c>
      <c r="G419" t="s">
        <v>661</v>
      </c>
    </row>
    <row r="420" spans="1:7" x14ac:dyDescent="0.25">
      <c r="A420">
        <v>4809705</v>
      </c>
      <c r="B420" t="s">
        <v>662</v>
      </c>
      <c r="C420" t="str">
        <f>"9781138824386"</f>
        <v>9781138824386</v>
      </c>
      <c r="D420" t="str">
        <f>"9781317580911"</f>
        <v>9781317580911</v>
      </c>
      <c r="E420" s="1">
        <v>42797</v>
      </c>
      <c r="F420" s="1">
        <v>42784</v>
      </c>
      <c r="G420" t="s">
        <v>663</v>
      </c>
    </row>
    <row r="421" spans="1:7" x14ac:dyDescent="0.25">
      <c r="A421">
        <v>5050011</v>
      </c>
      <c r="B421" t="s">
        <v>728</v>
      </c>
      <c r="C421" t="str">
        <f>"9780192839763"</f>
        <v>9780192839763</v>
      </c>
      <c r="D421" t="str">
        <f>"9780191610752"</f>
        <v>9780191610752</v>
      </c>
      <c r="E421" s="1">
        <v>37322</v>
      </c>
      <c r="F421" s="1">
        <v>43660</v>
      </c>
      <c r="G421" t="s">
        <v>729</v>
      </c>
    </row>
    <row r="422" spans="1:7" x14ac:dyDescent="0.25">
      <c r="A422">
        <v>5185496</v>
      </c>
      <c r="B422" t="s">
        <v>735</v>
      </c>
      <c r="C422" t="str">
        <f>"9781138659285"</f>
        <v>9781138659285</v>
      </c>
      <c r="D422" t="str">
        <f>"9781317216636"</f>
        <v>9781317216636</v>
      </c>
      <c r="E422" s="1">
        <v>43052</v>
      </c>
      <c r="F422" s="1">
        <v>43083</v>
      </c>
      <c r="G422" t="s">
        <v>736</v>
      </c>
    </row>
    <row r="423" spans="1:7" x14ac:dyDescent="0.25">
      <c r="A423">
        <v>5208377</v>
      </c>
      <c r="B423" t="s">
        <v>737</v>
      </c>
      <c r="C423" t="str">
        <f>"9781409444282"</f>
        <v>9781409444282</v>
      </c>
      <c r="D423" t="str">
        <f>"9781317183907"</f>
        <v>9781317183907</v>
      </c>
      <c r="E423" s="1">
        <v>41983</v>
      </c>
      <c r="F423" s="1">
        <v>43093</v>
      </c>
      <c r="G423" t="s">
        <v>738</v>
      </c>
    </row>
    <row r="424" spans="1:7" x14ac:dyDescent="0.25">
      <c r="A424">
        <v>5358414</v>
      </c>
      <c r="B424" t="s">
        <v>770</v>
      </c>
      <c r="C424" t="str">
        <f>"9781138567832"</f>
        <v>9781138567832</v>
      </c>
      <c r="D424" t="str">
        <f>"9781351340564"</f>
        <v>9781351340564</v>
      </c>
      <c r="E424" s="1">
        <v>43103</v>
      </c>
      <c r="F424" s="1">
        <v>43217</v>
      </c>
      <c r="G424" t="s">
        <v>771</v>
      </c>
    </row>
    <row r="425" spans="1:7" x14ac:dyDescent="0.25">
      <c r="A425">
        <v>5409845</v>
      </c>
      <c r="B425" t="s">
        <v>786</v>
      </c>
      <c r="C425" t="str">
        <f>""</f>
        <v/>
      </c>
      <c r="D425" t="str">
        <f>"9782346027040"</f>
        <v>9782346027040</v>
      </c>
      <c r="E425" s="1">
        <v>42355</v>
      </c>
      <c r="F425" s="1">
        <v>43259</v>
      </c>
      <c r="G425" t="s">
        <v>787</v>
      </c>
    </row>
    <row r="426" spans="1:7" x14ac:dyDescent="0.25">
      <c r="A426">
        <v>5421979</v>
      </c>
      <c r="B426" t="s">
        <v>799</v>
      </c>
      <c r="C426" t="str">
        <f>""</f>
        <v/>
      </c>
      <c r="D426" t="str">
        <f>"9782346095315"</f>
        <v>9782346095315</v>
      </c>
      <c r="E426" s="1">
        <v>42626</v>
      </c>
      <c r="F426" s="1">
        <v>43265</v>
      </c>
      <c r="G426" t="s">
        <v>800</v>
      </c>
    </row>
    <row r="427" spans="1:7" x14ac:dyDescent="0.25">
      <c r="A427">
        <v>5511286</v>
      </c>
      <c r="B427" t="s">
        <v>811</v>
      </c>
      <c r="C427" t="str">
        <f>"9781840025231"</f>
        <v>9781840025231</v>
      </c>
      <c r="D427" t="str">
        <f>"9781849435505"</f>
        <v>9781849435505</v>
      </c>
      <c r="E427" s="1">
        <v>38596</v>
      </c>
      <c r="F427" s="1">
        <v>43356</v>
      </c>
      <c r="G427" t="s">
        <v>812</v>
      </c>
    </row>
    <row r="428" spans="1:7" x14ac:dyDescent="0.25">
      <c r="A428">
        <v>5546124</v>
      </c>
      <c r="B428" t="s">
        <v>815</v>
      </c>
      <c r="C428" t="str">
        <f>"9781598743913"</f>
        <v>9781598743913</v>
      </c>
      <c r="D428" t="str">
        <f>"9781315417677"</f>
        <v>9781315417677</v>
      </c>
      <c r="E428" s="1">
        <v>39828</v>
      </c>
      <c r="F428" s="1">
        <v>43497</v>
      </c>
      <c r="G428" t="s">
        <v>816</v>
      </c>
    </row>
    <row r="429" spans="1:7" x14ac:dyDescent="0.25">
      <c r="A429">
        <v>5572460</v>
      </c>
      <c r="B429" t="s">
        <v>817</v>
      </c>
      <c r="C429" t="str">
        <f>"9781138552104"</f>
        <v>9781138552104</v>
      </c>
      <c r="D429" t="str">
        <f>"9781351374927"</f>
        <v>9781351374927</v>
      </c>
      <c r="E429" s="1">
        <v>43382</v>
      </c>
      <c r="F429" s="1">
        <v>43407</v>
      </c>
      <c r="G429" t="s">
        <v>818</v>
      </c>
    </row>
    <row r="430" spans="1:7" x14ac:dyDescent="0.25">
      <c r="A430">
        <v>5745871</v>
      </c>
      <c r="B430" t="s">
        <v>819</v>
      </c>
      <c r="C430" t="str">
        <f>"9780199536009"</f>
        <v>9780199536009</v>
      </c>
      <c r="D430" t="str">
        <f>"9780191592638"</f>
        <v>9780191592638</v>
      </c>
      <c r="E430" s="1">
        <v>39585</v>
      </c>
      <c r="F430" s="1">
        <v>43699</v>
      </c>
      <c r="G430" t="s">
        <v>829</v>
      </c>
    </row>
    <row r="431" spans="1:7" x14ac:dyDescent="0.25">
      <c r="A431">
        <v>5745922</v>
      </c>
      <c r="B431" t="s">
        <v>830</v>
      </c>
      <c r="C431" t="str">
        <f>"9780199535637"</f>
        <v>9780199535637</v>
      </c>
      <c r="D431" t="str">
        <f>"9780191593352"</f>
        <v>9780191593352</v>
      </c>
      <c r="E431" s="1">
        <v>39583</v>
      </c>
      <c r="F431" s="1">
        <v>43699</v>
      </c>
      <c r="G431" t="s">
        <v>831</v>
      </c>
    </row>
    <row r="432" spans="1:7" x14ac:dyDescent="0.25">
      <c r="A432">
        <v>5745925</v>
      </c>
      <c r="B432" t="s">
        <v>832</v>
      </c>
      <c r="C432" t="str">
        <f>"9780199555307"</f>
        <v>9780199555307</v>
      </c>
      <c r="D432" t="str">
        <f>"9780191610936"</f>
        <v>9780191610936</v>
      </c>
      <c r="E432" s="1">
        <v>40028</v>
      </c>
      <c r="F432" s="1">
        <v>43560</v>
      </c>
      <c r="G432" t="s">
        <v>833</v>
      </c>
    </row>
    <row r="433" spans="1:7" x14ac:dyDescent="0.25">
      <c r="A433">
        <v>5745955</v>
      </c>
      <c r="B433" t="s">
        <v>834</v>
      </c>
      <c r="C433" t="str">
        <f>"9780198791225"</f>
        <v>9780198791225</v>
      </c>
      <c r="D433" t="str">
        <f>"9780192508737"</f>
        <v>9780192508737</v>
      </c>
      <c r="E433" s="1">
        <v>43170</v>
      </c>
      <c r="F433" s="1">
        <v>43560</v>
      </c>
      <c r="G433" t="s">
        <v>835</v>
      </c>
    </row>
    <row r="434" spans="1:7" x14ac:dyDescent="0.25">
      <c r="A434">
        <v>5746235</v>
      </c>
      <c r="B434" t="s">
        <v>836</v>
      </c>
      <c r="C434" t="str">
        <f>"9780199296989"</f>
        <v>9780199296989</v>
      </c>
      <c r="D434" t="str">
        <f>"9780191612565"</f>
        <v>9780191612565</v>
      </c>
      <c r="E434" s="1">
        <v>40360</v>
      </c>
      <c r="F434" s="1">
        <v>43560</v>
      </c>
      <c r="G434" t="s">
        <v>837</v>
      </c>
    </row>
    <row r="435" spans="1:7" x14ac:dyDescent="0.25">
      <c r="A435">
        <v>5746348</v>
      </c>
      <c r="B435" t="s">
        <v>838</v>
      </c>
      <c r="C435" t="str">
        <f>"9780192832696"</f>
        <v>9780192832696</v>
      </c>
      <c r="D435" t="str">
        <f>"9780191560354"</f>
        <v>9780191560354</v>
      </c>
      <c r="E435" s="1">
        <v>35855</v>
      </c>
      <c r="F435" s="1">
        <v>43560</v>
      </c>
      <c r="G435" t="s">
        <v>839</v>
      </c>
    </row>
    <row r="436" spans="1:7" x14ac:dyDescent="0.25">
      <c r="A436">
        <v>5785411</v>
      </c>
      <c r="B436" t="s">
        <v>847</v>
      </c>
      <c r="C436" t="str">
        <f>"9780192836410"</f>
        <v>9780192836410</v>
      </c>
      <c r="D436" t="str">
        <f>"9780191610639"</f>
        <v>9780191610639</v>
      </c>
      <c r="E436" s="1">
        <v>36188</v>
      </c>
      <c r="F436" s="1">
        <v>43623</v>
      </c>
      <c r="G436" t="s">
        <v>848</v>
      </c>
    </row>
    <row r="437" spans="1:7" x14ac:dyDescent="0.25">
      <c r="A437">
        <v>5824953</v>
      </c>
      <c r="B437" t="s">
        <v>851</v>
      </c>
      <c r="C437" t="str">
        <f>"9780195110067"</f>
        <v>9780195110067</v>
      </c>
      <c r="D437" t="str">
        <f>"9780199939015"</f>
        <v>9780199939015</v>
      </c>
      <c r="E437" s="1">
        <v>37756</v>
      </c>
      <c r="F437" s="1">
        <v>43699</v>
      </c>
      <c r="G437" t="s">
        <v>852</v>
      </c>
    </row>
    <row r="438" spans="1:7" x14ac:dyDescent="0.25">
      <c r="A438">
        <v>5825013</v>
      </c>
      <c r="B438" t="s">
        <v>853</v>
      </c>
      <c r="C438" t="str">
        <f>"9780199539109"</f>
        <v>9780199539109</v>
      </c>
      <c r="D438" t="str">
        <f>"9780191611056"</f>
        <v>9780191611056</v>
      </c>
      <c r="E438" s="1">
        <v>36146</v>
      </c>
      <c r="F438" s="1">
        <v>43660</v>
      </c>
      <c r="G438" t="s">
        <v>839</v>
      </c>
    </row>
    <row r="439" spans="1:7" x14ac:dyDescent="0.25">
      <c r="A439">
        <v>5825364</v>
      </c>
      <c r="B439" t="s">
        <v>854</v>
      </c>
      <c r="C439" t="str">
        <f>"9780367308278"</f>
        <v>9780367308278</v>
      </c>
      <c r="D439" t="str">
        <f>"9781000230291"</f>
        <v>9781000230291</v>
      </c>
      <c r="E439" s="1">
        <v>43721</v>
      </c>
      <c r="F439" s="1">
        <v>43660</v>
      </c>
      <c r="G439" t="s">
        <v>408</v>
      </c>
    </row>
    <row r="440" spans="1:7" x14ac:dyDescent="0.25">
      <c r="A440">
        <v>5825513</v>
      </c>
      <c r="B440" t="s">
        <v>857</v>
      </c>
      <c r="C440" t="str">
        <f>"9780367303396"</f>
        <v>9780367303396</v>
      </c>
      <c r="D440" t="str">
        <f>"9781000240320"</f>
        <v>9781000240320</v>
      </c>
      <c r="E440" s="1">
        <v>43721</v>
      </c>
      <c r="F440" s="1">
        <v>43660</v>
      </c>
      <c r="G440" t="s">
        <v>858</v>
      </c>
    </row>
    <row r="441" spans="1:7" x14ac:dyDescent="0.25">
      <c r="A441">
        <v>5825730</v>
      </c>
      <c r="B441" t="s">
        <v>861</v>
      </c>
      <c r="C441" t="str">
        <f>"9780199538591"</f>
        <v>9780199538591</v>
      </c>
      <c r="D441" t="str">
        <f>"9780191623103"</f>
        <v>9780191623103</v>
      </c>
      <c r="E441" s="1">
        <v>40028</v>
      </c>
      <c r="F441" s="1">
        <v>43661</v>
      </c>
      <c r="G441" t="s">
        <v>862</v>
      </c>
    </row>
    <row r="442" spans="1:7" x14ac:dyDescent="0.25">
      <c r="A442">
        <v>5825867</v>
      </c>
      <c r="B442" t="s">
        <v>863</v>
      </c>
      <c r="C442" t="str">
        <f>"9780199540587"</f>
        <v>9780199540587</v>
      </c>
      <c r="D442" t="str">
        <f>"9780191606076"</f>
        <v>9780191606076</v>
      </c>
      <c r="E442" s="1">
        <v>39614</v>
      </c>
      <c r="F442" s="1">
        <v>43661</v>
      </c>
      <c r="G442" t="s">
        <v>864</v>
      </c>
    </row>
    <row r="443" spans="1:7" x14ac:dyDescent="0.25">
      <c r="A443">
        <v>5825889</v>
      </c>
      <c r="B443" t="s">
        <v>865</v>
      </c>
      <c r="C443" t="str">
        <f>"9780199538195"</f>
        <v>9780199538195</v>
      </c>
      <c r="D443" t="str">
        <f>"9780191611124"</f>
        <v>9780191611124</v>
      </c>
      <c r="E443" s="1">
        <v>39859</v>
      </c>
      <c r="F443" s="1">
        <v>43661</v>
      </c>
      <c r="G443" t="s">
        <v>866</v>
      </c>
    </row>
    <row r="444" spans="1:7" x14ac:dyDescent="0.25">
      <c r="A444">
        <v>5880058</v>
      </c>
      <c r="B444" t="s">
        <v>901</v>
      </c>
      <c r="C444" t="str">
        <f>"9780367274092"</f>
        <v>9780367274092</v>
      </c>
      <c r="D444" t="str">
        <f>"9781000607697"</f>
        <v>9781000607697</v>
      </c>
      <c r="E444" s="1">
        <v>43704</v>
      </c>
      <c r="F444" s="1">
        <v>43701</v>
      </c>
      <c r="G444" t="s">
        <v>902</v>
      </c>
    </row>
    <row r="445" spans="1:7" x14ac:dyDescent="0.25">
      <c r="A445">
        <v>5891332</v>
      </c>
      <c r="B445" t="s">
        <v>912</v>
      </c>
      <c r="C445" t="str">
        <f>"9780199674893"</f>
        <v>9780199674893</v>
      </c>
      <c r="D445" t="str">
        <f>"9780191618512"</f>
        <v>9780191618512</v>
      </c>
      <c r="E445" s="1">
        <v>41532</v>
      </c>
      <c r="F445" s="1">
        <v>43720</v>
      </c>
      <c r="G445" t="s">
        <v>913</v>
      </c>
    </row>
    <row r="446" spans="1:7" x14ac:dyDescent="0.25">
      <c r="A446">
        <v>5891350</v>
      </c>
      <c r="B446" t="s">
        <v>914</v>
      </c>
      <c r="C446" t="str">
        <f>"9780199581436"</f>
        <v>9780199581436</v>
      </c>
      <c r="D446" t="str">
        <f>"9780191620461"</f>
        <v>9780191620461</v>
      </c>
      <c r="E446" s="1">
        <v>40894</v>
      </c>
      <c r="F446" s="1">
        <v>43719</v>
      </c>
      <c r="G446" t="s">
        <v>915</v>
      </c>
    </row>
    <row r="447" spans="1:7" x14ac:dyDescent="0.25">
      <c r="A447">
        <v>5891375</v>
      </c>
      <c r="B447" t="s">
        <v>916</v>
      </c>
      <c r="C447" t="str">
        <f>"9780199558308"</f>
        <v>9780199558308</v>
      </c>
      <c r="D447" t="str">
        <f>"9780191618321"</f>
        <v>9780191618321</v>
      </c>
      <c r="E447" s="1">
        <v>40725</v>
      </c>
      <c r="F447" s="1">
        <v>43719</v>
      </c>
      <c r="G447" t="s">
        <v>917</v>
      </c>
    </row>
    <row r="448" spans="1:7" x14ac:dyDescent="0.25">
      <c r="A448">
        <v>5891422</v>
      </c>
      <c r="B448" t="s">
        <v>918</v>
      </c>
      <c r="C448" t="str">
        <f>"9780199536177"</f>
        <v>9780199536177</v>
      </c>
      <c r="D448" t="str">
        <f>"9780191636165"</f>
        <v>9780191636165</v>
      </c>
      <c r="E448" s="1">
        <v>39614</v>
      </c>
      <c r="F448" s="1">
        <v>43714</v>
      </c>
      <c r="G448" t="s">
        <v>919</v>
      </c>
    </row>
    <row r="449" spans="1:7" x14ac:dyDescent="0.25">
      <c r="A449">
        <v>5891427</v>
      </c>
      <c r="B449" t="s">
        <v>920</v>
      </c>
      <c r="C449" t="str">
        <f>"9780199540464"</f>
        <v>9780199540464</v>
      </c>
      <c r="D449" t="str">
        <f>"9780191611254"</f>
        <v>9780191611254</v>
      </c>
      <c r="E449" s="1">
        <v>36748</v>
      </c>
      <c r="F449" s="1">
        <v>43718</v>
      </c>
      <c r="G449" t="s">
        <v>921</v>
      </c>
    </row>
    <row r="450" spans="1:7" x14ac:dyDescent="0.25">
      <c r="A450">
        <v>5891552</v>
      </c>
      <c r="B450" t="s">
        <v>922</v>
      </c>
      <c r="C450" t="str">
        <f>"9780192836793"</f>
        <v>9780192836793</v>
      </c>
      <c r="D450" t="str">
        <f>"9780191593451"</f>
        <v>9780191593451</v>
      </c>
      <c r="E450" s="1">
        <v>39706</v>
      </c>
      <c r="F450" s="1">
        <v>43720</v>
      </c>
      <c r="G450" t="s">
        <v>831</v>
      </c>
    </row>
    <row r="451" spans="1:7" x14ac:dyDescent="0.25">
      <c r="A451">
        <v>5891569</v>
      </c>
      <c r="B451" t="s">
        <v>923</v>
      </c>
      <c r="C451" t="str">
        <f>"9780199596485"</f>
        <v>9780199596485</v>
      </c>
      <c r="D451" t="str">
        <f>"9780191627279"</f>
        <v>9780191627279</v>
      </c>
      <c r="E451" s="1">
        <v>41095</v>
      </c>
      <c r="F451" s="1">
        <v>43719</v>
      </c>
      <c r="G451" t="s">
        <v>924</v>
      </c>
    </row>
    <row r="452" spans="1:7" x14ac:dyDescent="0.25">
      <c r="A452">
        <v>5891628</v>
      </c>
      <c r="B452" t="s">
        <v>925</v>
      </c>
      <c r="C452" t="str">
        <f>"9780199578382"</f>
        <v>9780199578382</v>
      </c>
      <c r="D452" t="str">
        <f>"9780191620478"</f>
        <v>9780191620478</v>
      </c>
      <c r="E452" s="1">
        <v>40817</v>
      </c>
      <c r="F452" s="1">
        <v>43718</v>
      </c>
      <c r="G452" t="s">
        <v>915</v>
      </c>
    </row>
    <row r="453" spans="1:7" x14ac:dyDescent="0.25">
      <c r="A453">
        <v>5891629</v>
      </c>
      <c r="B453" t="s">
        <v>926</v>
      </c>
      <c r="C453" t="str">
        <f>"9780199656738"</f>
        <v>9780199656738</v>
      </c>
      <c r="D453" t="str">
        <f>"9780191630705"</f>
        <v>9780191630705</v>
      </c>
      <c r="E453" s="1">
        <v>41510</v>
      </c>
      <c r="F453" s="1">
        <v>43718</v>
      </c>
      <c r="G453" t="s">
        <v>917</v>
      </c>
    </row>
    <row r="454" spans="1:7" x14ac:dyDescent="0.25">
      <c r="A454">
        <v>5891678</v>
      </c>
      <c r="B454" t="s">
        <v>927</v>
      </c>
      <c r="C454" t="str">
        <f>"9780199697205"</f>
        <v>9780199697205</v>
      </c>
      <c r="D454" t="str">
        <f>"9780191640797"</f>
        <v>9780191640797</v>
      </c>
      <c r="E454" s="1">
        <v>41413</v>
      </c>
      <c r="F454" s="1">
        <v>43718</v>
      </c>
      <c r="G454" t="s">
        <v>848</v>
      </c>
    </row>
    <row r="455" spans="1:7" x14ac:dyDescent="0.25">
      <c r="A455">
        <v>5892407</v>
      </c>
      <c r="B455" t="s">
        <v>928</v>
      </c>
      <c r="C455" t="str">
        <f>"9780367288105"</f>
        <v>9780367288105</v>
      </c>
      <c r="D455" t="str">
        <f>"9781000240511"</f>
        <v>9781000240511</v>
      </c>
      <c r="E455" s="1">
        <v>44742</v>
      </c>
      <c r="F455" s="1">
        <v>43715</v>
      </c>
      <c r="G455" t="s">
        <v>929</v>
      </c>
    </row>
    <row r="456" spans="1:7" x14ac:dyDescent="0.25">
      <c r="A456">
        <v>5909963</v>
      </c>
      <c r="B456" t="s">
        <v>953</v>
      </c>
      <c r="C456" t="str">
        <f>"9780198185918"</f>
        <v>9780198185918</v>
      </c>
      <c r="D456" t="str">
        <f>"9780191551406"</f>
        <v>9780191551406</v>
      </c>
      <c r="E456" s="1">
        <v>34228</v>
      </c>
      <c r="F456" s="1">
        <v>43755</v>
      </c>
      <c r="G456" t="s">
        <v>924</v>
      </c>
    </row>
    <row r="457" spans="1:7" x14ac:dyDescent="0.25">
      <c r="A457">
        <v>5915743</v>
      </c>
      <c r="B457" t="s">
        <v>954</v>
      </c>
      <c r="C457" t="str">
        <f>"9780367254711"</f>
        <v>9780367254711</v>
      </c>
      <c r="D457" t="str">
        <f>"9781000694079"</f>
        <v>9781000694079</v>
      </c>
      <c r="E457" s="1">
        <v>44183</v>
      </c>
      <c r="F457" s="1">
        <v>43741</v>
      </c>
      <c r="G457" t="s">
        <v>955</v>
      </c>
    </row>
    <row r="458" spans="1:7" x14ac:dyDescent="0.25">
      <c r="A458">
        <v>5920338</v>
      </c>
      <c r="B458" t="s">
        <v>956</v>
      </c>
      <c r="C458" t="str">
        <f>"9789086863419"</f>
        <v>9789086863419</v>
      </c>
      <c r="D458" t="str">
        <f>"9789086868926"</f>
        <v>9789086868926</v>
      </c>
      <c r="E458" s="1">
        <v>43727</v>
      </c>
      <c r="F458" s="1">
        <v>43747</v>
      </c>
      <c r="G458" t="s">
        <v>957</v>
      </c>
    </row>
    <row r="459" spans="1:7" x14ac:dyDescent="0.25">
      <c r="A459">
        <v>5981621</v>
      </c>
      <c r="B459" t="s">
        <v>960</v>
      </c>
      <c r="C459" t="str">
        <f>"9781138370647"</f>
        <v>9781138370647</v>
      </c>
      <c r="D459" t="str">
        <f>"9780429765421"</f>
        <v>9780429765421</v>
      </c>
      <c r="E459" s="1">
        <v>43795</v>
      </c>
      <c r="F459" s="1">
        <v>43790</v>
      </c>
      <c r="G459" t="s">
        <v>961</v>
      </c>
    </row>
    <row r="460" spans="1:7" x14ac:dyDescent="0.25">
      <c r="A460">
        <v>5981812</v>
      </c>
      <c r="B460" t="s">
        <v>967</v>
      </c>
      <c r="C460" t="str">
        <f>"9789001805036"</f>
        <v>9789001805036</v>
      </c>
      <c r="D460" t="str">
        <f>"9781000035483"</f>
        <v>9781000035483</v>
      </c>
      <c r="E460" s="1">
        <v>40767</v>
      </c>
      <c r="F460" s="1">
        <v>43790</v>
      </c>
      <c r="G460" t="s">
        <v>968</v>
      </c>
    </row>
    <row r="461" spans="1:7" x14ac:dyDescent="0.25">
      <c r="A461">
        <v>6199619</v>
      </c>
      <c r="B461" t="s">
        <v>838</v>
      </c>
      <c r="C461" t="str">
        <f>"9781474275118"</f>
        <v>9781474275118</v>
      </c>
      <c r="D461" t="str">
        <f>"9781474275132"</f>
        <v>9781474275132</v>
      </c>
      <c r="E461" s="1">
        <v>42255</v>
      </c>
      <c r="F461" s="1">
        <v>43967</v>
      </c>
      <c r="G461" t="s">
        <v>839</v>
      </c>
    </row>
    <row r="462" spans="1:7" x14ac:dyDescent="0.25">
      <c r="A462">
        <v>6207059</v>
      </c>
      <c r="B462" t="s">
        <v>988</v>
      </c>
      <c r="C462" t="str">
        <f>"9780198848110"</f>
        <v>9780198848110</v>
      </c>
      <c r="D462" t="str">
        <f>"9780192587374"</f>
        <v>9780192587374</v>
      </c>
      <c r="E462" s="1">
        <v>44041</v>
      </c>
      <c r="F462" s="1">
        <v>43973</v>
      </c>
      <c r="G462" t="s">
        <v>839</v>
      </c>
    </row>
    <row r="463" spans="1:7" x14ac:dyDescent="0.25">
      <c r="A463">
        <v>6216993</v>
      </c>
      <c r="B463" t="s">
        <v>989</v>
      </c>
      <c r="C463" t="str">
        <f>"9783957578112"</f>
        <v>9783957578112</v>
      </c>
      <c r="D463" t="str">
        <f>"9783957579126"</f>
        <v>9783957579126</v>
      </c>
      <c r="E463" s="1">
        <v>43985</v>
      </c>
      <c r="F463" s="1">
        <v>43987</v>
      </c>
      <c r="G463" t="s">
        <v>990</v>
      </c>
    </row>
    <row r="464" spans="1:7" x14ac:dyDescent="0.25">
      <c r="A464">
        <v>6236304</v>
      </c>
      <c r="B464" t="s">
        <v>991</v>
      </c>
      <c r="C464" t="str">
        <f>"9780367264147"</f>
        <v>9780367264147</v>
      </c>
      <c r="D464" t="str">
        <f>"9781000697810"</f>
        <v>9781000697810</v>
      </c>
      <c r="E464" s="1">
        <v>44012</v>
      </c>
      <c r="F464" s="1">
        <v>44008</v>
      </c>
      <c r="G464" t="s">
        <v>992</v>
      </c>
    </row>
    <row r="465" spans="1:7" x14ac:dyDescent="0.25">
      <c r="A465">
        <v>6266288</v>
      </c>
      <c r="B465" t="s">
        <v>995</v>
      </c>
      <c r="C465" t="str">
        <f>"9783865393210"</f>
        <v>9783865393210</v>
      </c>
      <c r="D465" t="str">
        <f>"9783843804097"</f>
        <v>9783843804097</v>
      </c>
      <c r="E465" s="1">
        <v>42237</v>
      </c>
      <c r="F465" s="1">
        <v>44042</v>
      </c>
      <c r="G465" t="s">
        <v>996</v>
      </c>
    </row>
    <row r="466" spans="1:7" x14ac:dyDescent="0.25">
      <c r="A466">
        <v>6269688</v>
      </c>
      <c r="B466" t="s">
        <v>1010</v>
      </c>
      <c r="C466" t="str">
        <f>"9783520850010"</f>
        <v>9783520850010</v>
      </c>
      <c r="D466" t="str">
        <f>"9783520850911"</f>
        <v>9783520850911</v>
      </c>
      <c r="E466" s="1">
        <v>42320</v>
      </c>
      <c r="F466" s="1">
        <v>44040</v>
      </c>
      <c r="G466" t="s">
        <v>1011</v>
      </c>
    </row>
    <row r="467" spans="1:7" x14ac:dyDescent="0.25">
      <c r="A467">
        <v>6269689</v>
      </c>
      <c r="B467" t="s">
        <v>1012</v>
      </c>
      <c r="C467" t="str">
        <f>"9783520851017"</f>
        <v>9783520851017</v>
      </c>
      <c r="D467" t="str">
        <f>"9783520851918"</f>
        <v>9783520851918</v>
      </c>
      <c r="E467" s="1">
        <v>42163</v>
      </c>
      <c r="F467" s="1">
        <v>44040</v>
      </c>
      <c r="G467" t="s">
        <v>1013</v>
      </c>
    </row>
    <row r="468" spans="1:7" x14ac:dyDescent="0.25">
      <c r="A468">
        <v>6269893</v>
      </c>
      <c r="B468" t="s">
        <v>1014</v>
      </c>
      <c r="C468" t="str">
        <f>"9783520853011"</f>
        <v>9783520853011</v>
      </c>
      <c r="D468" t="str">
        <f>"9783520853912"</f>
        <v>9783520853912</v>
      </c>
      <c r="E468" s="1">
        <v>42309</v>
      </c>
      <c r="F468" s="1">
        <v>44040</v>
      </c>
      <c r="G468" t="s">
        <v>998</v>
      </c>
    </row>
    <row r="469" spans="1:7" x14ac:dyDescent="0.25">
      <c r="A469">
        <v>6272486</v>
      </c>
      <c r="B469" t="s">
        <v>1015</v>
      </c>
      <c r="C469" t="str">
        <f>"9781119146865"</f>
        <v>9781119146865</v>
      </c>
      <c r="D469" t="str">
        <f>"9781119146889"</f>
        <v>9781119146889</v>
      </c>
      <c r="E469" s="1">
        <v>44061</v>
      </c>
      <c r="F469" s="1">
        <v>44042</v>
      </c>
      <c r="G469" t="s">
        <v>492</v>
      </c>
    </row>
    <row r="470" spans="1:7" x14ac:dyDescent="0.25">
      <c r="A470">
        <v>6423236</v>
      </c>
      <c r="B470" t="s">
        <v>1029</v>
      </c>
      <c r="C470" t="str">
        <f>"9780199555154"</f>
        <v>9780199555154</v>
      </c>
      <c r="D470" t="str">
        <f>"9780191605680"</f>
        <v>9780191605680</v>
      </c>
      <c r="E470" s="1">
        <v>39918</v>
      </c>
      <c r="F470" s="1">
        <v>44176</v>
      </c>
      <c r="G470" t="s">
        <v>1030</v>
      </c>
    </row>
    <row r="471" spans="1:7" x14ac:dyDescent="0.25">
      <c r="A471">
        <v>6431130</v>
      </c>
      <c r="B471" t="s">
        <v>1031</v>
      </c>
      <c r="C471" t="str">
        <f>"9786073034999"</f>
        <v>9786073034999</v>
      </c>
      <c r="D471" t="str">
        <f>"9786073037563"</f>
        <v>9786073037563</v>
      </c>
      <c r="E471" s="1">
        <v>44155</v>
      </c>
      <c r="F471" s="1">
        <v>44187</v>
      </c>
      <c r="G471" t="s">
        <v>1032</v>
      </c>
    </row>
    <row r="472" spans="1:7" x14ac:dyDescent="0.25">
      <c r="A472">
        <v>6449722</v>
      </c>
      <c r="B472" t="s">
        <v>1035</v>
      </c>
      <c r="C472" t="str">
        <f>"9780199555482"</f>
        <v>9780199555482</v>
      </c>
      <c r="D472" t="str">
        <f>"9780191506079"</f>
        <v>9780191506079</v>
      </c>
      <c r="E472" s="1">
        <v>34270</v>
      </c>
      <c r="F472" s="1">
        <v>44197</v>
      </c>
      <c r="G472" t="s">
        <v>1036</v>
      </c>
    </row>
    <row r="473" spans="1:7" x14ac:dyDescent="0.25">
      <c r="A473">
        <v>6485509</v>
      </c>
      <c r="B473" t="s">
        <v>1042</v>
      </c>
      <c r="C473" t="str">
        <f>"9783737411639"</f>
        <v>9783737411639</v>
      </c>
      <c r="D473" t="str">
        <f>"9783843806725"</f>
        <v>9783843806725</v>
      </c>
      <c r="E473" s="1">
        <v>44247</v>
      </c>
      <c r="F473" s="1">
        <v>44251</v>
      </c>
      <c r="G473" t="s">
        <v>1001</v>
      </c>
    </row>
    <row r="474" spans="1:7" x14ac:dyDescent="0.25">
      <c r="A474">
        <v>6511012</v>
      </c>
      <c r="B474" t="s">
        <v>1048</v>
      </c>
      <c r="C474" t="str">
        <f>"9789086863570"</f>
        <v>9789086863570</v>
      </c>
      <c r="D474" t="str">
        <f>"9789086869107"</f>
        <v>9789086869107</v>
      </c>
      <c r="E474" s="1">
        <v>44270</v>
      </c>
      <c r="F474" s="1">
        <v>44265</v>
      </c>
      <c r="G474" t="s">
        <v>1049</v>
      </c>
    </row>
    <row r="475" spans="1:7" x14ac:dyDescent="0.25">
      <c r="A475">
        <v>6609428</v>
      </c>
      <c r="B475" t="s">
        <v>1071</v>
      </c>
      <c r="C475" t="str">
        <f>"9783958292932"</f>
        <v>9783958292932</v>
      </c>
      <c r="D475" t="str">
        <f>"9783958294387"</f>
        <v>9783958294387</v>
      </c>
      <c r="E475" s="1">
        <v>42917</v>
      </c>
      <c r="F475" s="1">
        <v>44328</v>
      </c>
      <c r="G475" t="s">
        <v>1053</v>
      </c>
    </row>
    <row r="476" spans="1:7" x14ac:dyDescent="0.25">
      <c r="A476">
        <v>6724474</v>
      </c>
      <c r="B476" t="s">
        <v>1082</v>
      </c>
      <c r="C476" t="str">
        <f>"9789974848627"</f>
        <v>9789974848627</v>
      </c>
      <c r="D476" t="str">
        <f>"9789974863521"</f>
        <v>9789974863521</v>
      </c>
      <c r="E476" s="1">
        <v>42186</v>
      </c>
      <c r="F476" s="1">
        <v>44450</v>
      </c>
      <c r="G476" t="s">
        <v>1083</v>
      </c>
    </row>
    <row r="477" spans="1:7" x14ac:dyDescent="0.25">
      <c r="A477">
        <v>6736780</v>
      </c>
      <c r="B477" t="s">
        <v>1084</v>
      </c>
      <c r="C477" t="str">
        <f>"9781032079837"</f>
        <v>9781032079837</v>
      </c>
      <c r="D477" t="str">
        <f>"9781000460384"</f>
        <v>9781000460384</v>
      </c>
      <c r="E477" s="1">
        <v>45031</v>
      </c>
      <c r="F477" s="1">
        <v>44469</v>
      </c>
      <c r="G477" t="s">
        <v>1085</v>
      </c>
    </row>
    <row r="478" spans="1:7" x14ac:dyDescent="0.25">
      <c r="A478">
        <v>6888312</v>
      </c>
      <c r="B478" t="s">
        <v>1101</v>
      </c>
      <c r="C478" t="str">
        <f>"9781032122373"</f>
        <v>9781032122373</v>
      </c>
      <c r="D478" t="str">
        <f>"9781000542509"</f>
        <v>9781000542509</v>
      </c>
      <c r="E478" s="1">
        <v>44593</v>
      </c>
      <c r="F478" s="1">
        <v>44608</v>
      </c>
      <c r="G478" t="s">
        <v>1102</v>
      </c>
    </row>
    <row r="479" spans="1:7" x14ac:dyDescent="0.25">
      <c r="A479">
        <v>6927168</v>
      </c>
      <c r="B479" t="s">
        <v>1103</v>
      </c>
      <c r="C479" t="str">
        <f>"9783811453197"</f>
        <v>9783811453197</v>
      </c>
      <c r="D479" t="str">
        <f>"9783811487123"</f>
        <v>9783811487123</v>
      </c>
      <c r="E479" s="1">
        <v>44351</v>
      </c>
      <c r="F479" s="1">
        <v>44638</v>
      </c>
      <c r="G479" t="s">
        <v>1104</v>
      </c>
    </row>
    <row r="480" spans="1:7" x14ac:dyDescent="0.25">
      <c r="A480">
        <v>6997161</v>
      </c>
      <c r="B480" t="s">
        <v>1115</v>
      </c>
      <c r="C480" t="str">
        <f>"9783751800655"</f>
        <v>9783751800655</v>
      </c>
      <c r="D480" t="str">
        <f>"9783751800822"</f>
        <v>9783751800822</v>
      </c>
      <c r="E480" s="1">
        <v>44693</v>
      </c>
      <c r="F480" s="1">
        <v>44706</v>
      </c>
      <c r="G480" t="s">
        <v>1116</v>
      </c>
    </row>
    <row r="481" spans="1:7" x14ac:dyDescent="0.25">
      <c r="A481">
        <v>7121438</v>
      </c>
      <c r="B481" t="s">
        <v>1144</v>
      </c>
      <c r="C481" t="str">
        <f>"9781032193267"</f>
        <v>9781032193267</v>
      </c>
      <c r="D481" t="str">
        <f>"9781000813098"</f>
        <v>9781000813098</v>
      </c>
      <c r="E481" s="1">
        <v>44925</v>
      </c>
      <c r="F481" s="1">
        <v>44860</v>
      </c>
      <c r="G481" t="s">
        <v>1145</v>
      </c>
    </row>
    <row r="482" spans="1:7" x14ac:dyDescent="0.25">
      <c r="A482">
        <v>7131458</v>
      </c>
      <c r="B482" t="s">
        <v>1151</v>
      </c>
      <c r="C482" t="str">
        <f>"9783455006285"</f>
        <v>9783455006285</v>
      </c>
      <c r="D482" t="str">
        <f>"9783455008357"</f>
        <v>9783455008357</v>
      </c>
      <c r="E482" s="1">
        <v>44140</v>
      </c>
      <c r="F482" s="1">
        <v>44871</v>
      </c>
      <c r="G482" t="s">
        <v>792</v>
      </c>
    </row>
    <row r="483" spans="1:7" x14ac:dyDescent="0.25">
      <c r="A483">
        <v>7131576</v>
      </c>
      <c r="B483" t="s">
        <v>1167</v>
      </c>
      <c r="C483" t="str">
        <f>"9783455400489"</f>
        <v>9783455400489</v>
      </c>
      <c r="D483" t="str">
        <f>"9783455402582"</f>
        <v>9783455402582</v>
      </c>
      <c r="E483" s="1">
        <v>40225</v>
      </c>
      <c r="F483" s="1">
        <v>44871</v>
      </c>
      <c r="G483" t="s">
        <v>1149</v>
      </c>
    </row>
    <row r="484" spans="1:7" x14ac:dyDescent="0.25">
      <c r="A484">
        <v>7131619</v>
      </c>
      <c r="B484" t="s">
        <v>1187</v>
      </c>
      <c r="C484" t="str">
        <f>"9783455404449"</f>
        <v>9783455404449</v>
      </c>
      <c r="D484" t="str">
        <f>"9783455811124"</f>
        <v>9783455811124</v>
      </c>
      <c r="E484" s="1">
        <v>41324</v>
      </c>
      <c r="F484" s="1">
        <v>44871</v>
      </c>
      <c r="G484" t="s">
        <v>792</v>
      </c>
    </row>
    <row r="485" spans="1:7" x14ac:dyDescent="0.25">
      <c r="A485">
        <v>7164635</v>
      </c>
      <c r="B485" t="s">
        <v>1230</v>
      </c>
      <c r="C485" t="str">
        <f>"9780199536955"</f>
        <v>9780199536955</v>
      </c>
      <c r="D485" t="str">
        <f>"9780191605598"</f>
        <v>9780191605598</v>
      </c>
      <c r="E485" s="1">
        <v>39845</v>
      </c>
      <c r="F485" s="1">
        <v>44923</v>
      </c>
      <c r="G485" t="s">
        <v>1036</v>
      </c>
    </row>
    <row r="486" spans="1:7" x14ac:dyDescent="0.25">
      <c r="A486">
        <v>7171783</v>
      </c>
      <c r="B486" t="s">
        <v>1232</v>
      </c>
      <c r="C486" t="str">
        <f>"9780199536382"</f>
        <v>9780199536382</v>
      </c>
      <c r="D486" t="str">
        <f>"9780191505805"</f>
        <v>9780191505805</v>
      </c>
      <c r="E486" s="1">
        <v>39661</v>
      </c>
      <c r="F486" s="1">
        <v>44933</v>
      </c>
      <c r="G486" t="s">
        <v>1233</v>
      </c>
    </row>
    <row r="487" spans="1:7" x14ac:dyDescent="0.25">
      <c r="A487">
        <v>7171792</v>
      </c>
      <c r="B487" t="s">
        <v>1234</v>
      </c>
      <c r="C487" t="str">
        <f>"9780199538799"</f>
        <v>9780199538799</v>
      </c>
      <c r="D487" t="str">
        <f>"9780191505799"</f>
        <v>9780191505799</v>
      </c>
      <c r="E487" s="1">
        <v>39797</v>
      </c>
      <c r="F487" s="1">
        <v>44950</v>
      </c>
      <c r="G487" t="s">
        <v>1036</v>
      </c>
    </row>
    <row r="488" spans="1:7" x14ac:dyDescent="0.25">
      <c r="A488">
        <v>7192117</v>
      </c>
      <c r="B488" t="s">
        <v>1250</v>
      </c>
      <c r="C488" t="str">
        <f>"9781032481036"</f>
        <v>9781032481036</v>
      </c>
      <c r="D488" t="str">
        <f>"9781000872927"</f>
        <v>9781000872927</v>
      </c>
      <c r="E488" s="1">
        <v>45046</v>
      </c>
      <c r="F488" s="1">
        <v>44965</v>
      </c>
      <c r="G488" t="s">
        <v>1251</v>
      </c>
    </row>
    <row r="489" spans="1:7" x14ac:dyDescent="0.25">
      <c r="A489">
        <v>7209926</v>
      </c>
      <c r="B489" t="s">
        <v>1265</v>
      </c>
      <c r="C489" t="str">
        <f>"9781032422664"</f>
        <v>9781032422664</v>
      </c>
      <c r="D489" t="str">
        <f>"9781000856545"</f>
        <v>9781000856545</v>
      </c>
      <c r="E489" s="1">
        <v>45049</v>
      </c>
      <c r="F489" s="1">
        <v>44992</v>
      </c>
      <c r="G489" t="s">
        <v>1266</v>
      </c>
    </row>
    <row r="490" spans="1:7" x14ac:dyDescent="0.25">
      <c r="A490">
        <v>7252517</v>
      </c>
      <c r="B490" t="s">
        <v>1309</v>
      </c>
      <c r="C490" t="str">
        <f>"9780415343497"</f>
        <v>9780415343497</v>
      </c>
      <c r="D490" t="str">
        <f>"9780429634307"</f>
        <v>9780429634307</v>
      </c>
      <c r="E490" s="1">
        <v>43320</v>
      </c>
      <c r="F490" s="1">
        <v>45070</v>
      </c>
      <c r="G490" t="s">
        <v>1310</v>
      </c>
    </row>
    <row r="491" spans="1:7" x14ac:dyDescent="0.25">
      <c r="A491">
        <v>7252715</v>
      </c>
      <c r="B491" t="s">
        <v>1313</v>
      </c>
      <c r="C491" t="str">
        <f>"9781032185545"</f>
        <v>9781032185545</v>
      </c>
      <c r="D491" t="str">
        <f>"9781000909999"</f>
        <v>9781000909999</v>
      </c>
      <c r="E491" s="1">
        <v>45108</v>
      </c>
      <c r="F491" s="1">
        <v>45071</v>
      </c>
      <c r="G491" t="s">
        <v>1314</v>
      </c>
    </row>
    <row r="492" spans="1:7" x14ac:dyDescent="0.25">
      <c r="A492">
        <v>7260861</v>
      </c>
      <c r="B492" t="s">
        <v>1317</v>
      </c>
      <c r="C492" t="str">
        <f>"9780367095659"</f>
        <v>9780367095659</v>
      </c>
      <c r="D492" t="str">
        <f>"9781000942583"</f>
        <v>9781000942583</v>
      </c>
      <c r="E492" s="1">
        <v>39128</v>
      </c>
      <c r="F492" s="1">
        <v>45087</v>
      </c>
      <c r="G492" t="s">
        <v>1318</v>
      </c>
    </row>
    <row r="493" spans="1:7" x14ac:dyDescent="0.25">
      <c r="A493">
        <v>7264512</v>
      </c>
      <c r="B493" t="s">
        <v>1336</v>
      </c>
      <c r="C493" t="str">
        <f>"9781032262987"</f>
        <v>9781032262987</v>
      </c>
      <c r="D493" t="str">
        <f>"9781000953893"</f>
        <v>9781000953893</v>
      </c>
      <c r="E493" s="1">
        <v>45112</v>
      </c>
      <c r="F493" s="1">
        <v>45100</v>
      </c>
      <c r="G493" t="s">
        <v>1337</v>
      </c>
    </row>
    <row r="494" spans="1:7" x14ac:dyDescent="0.25">
      <c r="A494">
        <v>7264517</v>
      </c>
      <c r="B494" t="s">
        <v>1338</v>
      </c>
      <c r="C494" t="str">
        <f>"9781032505961"</f>
        <v>9781032505961</v>
      </c>
      <c r="D494" t="str">
        <f>"9781000920925"</f>
        <v>9781000920925</v>
      </c>
      <c r="E494" s="1">
        <v>45139</v>
      </c>
      <c r="F494" s="1">
        <v>45100</v>
      </c>
      <c r="G494" t="s">
        <v>1339</v>
      </c>
    </row>
    <row r="495" spans="1:7" x14ac:dyDescent="0.25">
      <c r="A495">
        <v>7265612</v>
      </c>
      <c r="B495" t="s">
        <v>1342</v>
      </c>
      <c r="C495" t="str">
        <f>"9781032404424"</f>
        <v>9781032404424</v>
      </c>
      <c r="D495" t="str">
        <f>"9781000923834"</f>
        <v>9781000923834</v>
      </c>
      <c r="E495" s="1">
        <v>45154</v>
      </c>
      <c r="F495" s="1">
        <v>45105</v>
      </c>
      <c r="G495" t="s">
        <v>1343</v>
      </c>
    </row>
    <row r="496" spans="1:7" x14ac:dyDescent="0.25">
      <c r="A496">
        <v>7268673</v>
      </c>
      <c r="B496" t="s">
        <v>1360</v>
      </c>
      <c r="C496" t="str">
        <f>"9781032545769"</f>
        <v>9781032545769</v>
      </c>
      <c r="D496" t="str">
        <f>"9781000923483"</f>
        <v>9781000923483</v>
      </c>
      <c r="E496" s="1">
        <v>45108</v>
      </c>
      <c r="F496" s="1">
        <v>45115</v>
      </c>
      <c r="G496" t="s">
        <v>1361</v>
      </c>
    </row>
    <row r="497" spans="1:7" x14ac:dyDescent="0.25">
      <c r="A497">
        <v>7273654</v>
      </c>
      <c r="B497" t="s">
        <v>1366</v>
      </c>
      <c r="C497" t="str">
        <f>"9781032209791"</f>
        <v>9781032209791</v>
      </c>
      <c r="D497" t="str">
        <f>"9781000955200"</f>
        <v>9781000955200</v>
      </c>
      <c r="E497" s="1">
        <v>45148</v>
      </c>
      <c r="F497" s="1">
        <v>45143</v>
      </c>
      <c r="G497" t="s">
        <v>1367</v>
      </c>
    </row>
    <row r="498" spans="1:7" x14ac:dyDescent="0.25">
      <c r="A498">
        <v>7276369</v>
      </c>
      <c r="B498" t="s">
        <v>1368</v>
      </c>
      <c r="C498" t="str">
        <f>"9780367359706"</f>
        <v>9780367359706</v>
      </c>
      <c r="D498" t="str">
        <f>"9781000928440"</f>
        <v>9781000928440</v>
      </c>
      <c r="E498" s="1">
        <v>45162</v>
      </c>
      <c r="F498" s="1">
        <v>45136</v>
      </c>
      <c r="G498" t="s">
        <v>1369</v>
      </c>
    </row>
    <row r="499" spans="1:7" x14ac:dyDescent="0.25">
      <c r="A499">
        <v>7276376</v>
      </c>
      <c r="B499" t="s">
        <v>1370</v>
      </c>
      <c r="C499" t="str">
        <f>"9781032376684"</f>
        <v>9781032376684</v>
      </c>
      <c r="D499" t="str">
        <f>"9781000986938"</f>
        <v>9781000986938</v>
      </c>
      <c r="E499" s="1">
        <v>45146</v>
      </c>
      <c r="F499" s="1">
        <v>45136</v>
      </c>
      <c r="G499" t="s">
        <v>1371</v>
      </c>
    </row>
    <row r="500" spans="1:7" x14ac:dyDescent="0.25">
      <c r="A500">
        <v>7276386</v>
      </c>
      <c r="B500" t="s">
        <v>1372</v>
      </c>
      <c r="C500" t="str">
        <f>"9781032348261"</f>
        <v>9781032348261</v>
      </c>
      <c r="D500" t="str">
        <f>"9781000990690"</f>
        <v>9781000990690</v>
      </c>
      <c r="E500" s="1">
        <v>45139</v>
      </c>
      <c r="F500" s="1">
        <v>45136</v>
      </c>
      <c r="G500" t="s">
        <v>1373</v>
      </c>
    </row>
    <row r="501" spans="1:7" x14ac:dyDescent="0.25">
      <c r="A501">
        <v>7277619</v>
      </c>
      <c r="B501" t="s">
        <v>1374</v>
      </c>
      <c r="C501" t="str">
        <f>"9781032225197"</f>
        <v>9781032225197</v>
      </c>
      <c r="D501" t="str">
        <f>"9781000953497"</f>
        <v>9781000953497</v>
      </c>
      <c r="E501" s="1">
        <v>45180</v>
      </c>
      <c r="F501" s="1">
        <v>45141</v>
      </c>
      <c r="G501" t="s">
        <v>1375</v>
      </c>
    </row>
    <row r="502" spans="1:7" x14ac:dyDescent="0.25">
      <c r="A502">
        <v>7278483</v>
      </c>
      <c r="B502" t="s">
        <v>1380</v>
      </c>
      <c r="C502" t="str">
        <f>"9780198835899"</f>
        <v>9780198835899</v>
      </c>
      <c r="D502" t="str">
        <f>"9780192572851"</f>
        <v>9780192572851</v>
      </c>
      <c r="E502" s="1">
        <v>44409</v>
      </c>
      <c r="F502" s="1">
        <v>45142</v>
      </c>
      <c r="G502" t="s">
        <v>1381</v>
      </c>
    </row>
    <row r="503" spans="1:7" x14ac:dyDescent="0.25">
      <c r="A503">
        <v>7280425</v>
      </c>
      <c r="B503" t="s">
        <v>1390</v>
      </c>
      <c r="C503" t="str">
        <f>"9781032483627"</f>
        <v>9781032483627</v>
      </c>
      <c r="D503" t="str">
        <f>"9781000999358"</f>
        <v>9781000999358</v>
      </c>
      <c r="E503" s="1">
        <v>45170</v>
      </c>
      <c r="F503" s="1">
        <v>45149</v>
      </c>
      <c r="G503" t="s">
        <v>1391</v>
      </c>
    </row>
    <row r="504" spans="1:7" x14ac:dyDescent="0.25">
      <c r="A504">
        <v>30186626</v>
      </c>
      <c r="B504" t="s">
        <v>1413</v>
      </c>
      <c r="C504" t="str">
        <f>"9788483931639"</f>
        <v>9788483931639</v>
      </c>
      <c r="D504" t="str">
        <f>"9788483935606"</f>
        <v>9788483935606</v>
      </c>
      <c r="E504" s="1">
        <v>41091</v>
      </c>
      <c r="F504" s="1">
        <v>44854</v>
      </c>
      <c r="G504" t="s">
        <v>1</v>
      </c>
    </row>
    <row r="505" spans="1:7" x14ac:dyDescent="0.25">
      <c r="A505">
        <v>30186649</v>
      </c>
      <c r="B505" t="s">
        <v>1417</v>
      </c>
      <c r="C505" t="str">
        <f>"9788483930588"</f>
        <v>9788483930588</v>
      </c>
      <c r="D505" t="str">
        <f>"9788483935637"</f>
        <v>9788483935637</v>
      </c>
      <c r="E505" s="1">
        <v>40360</v>
      </c>
      <c r="F505" s="1">
        <v>44854</v>
      </c>
      <c r="G505" t="s">
        <v>1418</v>
      </c>
    </row>
    <row r="506" spans="1:7" x14ac:dyDescent="0.25">
      <c r="A506">
        <v>30186701</v>
      </c>
      <c r="B506" t="s">
        <v>1432</v>
      </c>
      <c r="C506" t="str">
        <f>"9788483932650"</f>
        <v>9788483932650</v>
      </c>
      <c r="D506" t="str">
        <f>"9788483936504"</f>
        <v>9788483936504</v>
      </c>
      <c r="E506" s="1">
        <v>43647</v>
      </c>
      <c r="F506" s="1">
        <v>44854</v>
      </c>
      <c r="G506" t="s">
        <v>1428</v>
      </c>
    </row>
    <row r="507" spans="1:7" x14ac:dyDescent="0.25">
      <c r="A507">
        <v>30186708</v>
      </c>
      <c r="B507" t="s">
        <v>1436</v>
      </c>
      <c r="C507" t="str">
        <f>"9788483930076"</f>
        <v>9788483930076</v>
      </c>
      <c r="D507" t="str">
        <f>"9788483935484"</f>
        <v>9788483935484</v>
      </c>
      <c r="E507" s="1">
        <v>42517</v>
      </c>
      <c r="F507" s="1">
        <v>44854</v>
      </c>
      <c r="G507" t="s">
        <v>1437</v>
      </c>
    </row>
    <row r="508" spans="1:7" x14ac:dyDescent="0.25">
      <c r="A508">
        <v>30186711</v>
      </c>
      <c r="B508" t="s">
        <v>1438</v>
      </c>
      <c r="C508" t="str">
        <f>"9788483932193"</f>
        <v>9788483932193</v>
      </c>
      <c r="D508" t="str">
        <f>"9788483936030"</f>
        <v>9788483936030</v>
      </c>
      <c r="E508" s="1">
        <v>42917</v>
      </c>
      <c r="F508" s="1">
        <v>44854</v>
      </c>
      <c r="G508" t="s">
        <v>1418</v>
      </c>
    </row>
    <row r="509" spans="1:7" x14ac:dyDescent="0.25">
      <c r="A509">
        <v>30186736</v>
      </c>
      <c r="B509" t="s">
        <v>1444</v>
      </c>
      <c r="C509" t="str">
        <f>"9788495642905"</f>
        <v>9788495642905</v>
      </c>
      <c r="D509" t="str">
        <f>"9788483935538"</f>
        <v>9788483935538</v>
      </c>
      <c r="E509" s="1">
        <v>39264</v>
      </c>
      <c r="F509" s="1">
        <v>44854</v>
      </c>
      <c r="G509" t="s">
        <v>1418</v>
      </c>
    </row>
    <row r="510" spans="1:7" x14ac:dyDescent="0.25">
      <c r="A510">
        <v>30186761</v>
      </c>
      <c r="B510" t="s">
        <v>1447</v>
      </c>
      <c r="C510" t="str">
        <f>"9788483932001"</f>
        <v>9788483932001</v>
      </c>
      <c r="D510" t="str">
        <f>"9788483935989"</f>
        <v>9788483935989</v>
      </c>
      <c r="E510" s="1">
        <v>41821</v>
      </c>
      <c r="F510" s="1">
        <v>44854</v>
      </c>
      <c r="G510" t="s">
        <v>1428</v>
      </c>
    </row>
    <row r="511" spans="1:7" x14ac:dyDescent="0.25">
      <c r="A511">
        <v>30722886</v>
      </c>
      <c r="B511" t="s">
        <v>1453</v>
      </c>
      <c r="C511" t="str">
        <f>"9781032572468"</f>
        <v>9781032572468</v>
      </c>
      <c r="D511" t="str">
        <f>"9781000959512"</f>
        <v>9781000959512</v>
      </c>
      <c r="E511" s="1">
        <v>45169</v>
      </c>
      <c r="F511" s="1">
        <v>45168</v>
      </c>
      <c r="G511" t="s">
        <v>1454</v>
      </c>
    </row>
    <row r="512" spans="1:7" x14ac:dyDescent="0.25">
      <c r="A512">
        <v>30767526</v>
      </c>
      <c r="B512" t="s">
        <v>1478</v>
      </c>
      <c r="C512" t="str">
        <f>"9781032160221"</f>
        <v>9781032160221</v>
      </c>
      <c r="D512" t="str">
        <f>"9781003807353"</f>
        <v>9781003807353</v>
      </c>
      <c r="E512" s="1">
        <v>45261</v>
      </c>
      <c r="F512" s="1">
        <v>45203</v>
      </c>
      <c r="G512" t="s">
        <v>1479</v>
      </c>
    </row>
    <row r="513" spans="1:7" x14ac:dyDescent="0.25">
      <c r="A513">
        <v>30767536</v>
      </c>
      <c r="B513" t="s">
        <v>1480</v>
      </c>
      <c r="C513" t="str">
        <f>"9781032415079"</f>
        <v>9781032415079</v>
      </c>
      <c r="D513" t="str">
        <f>"9781000968866"</f>
        <v>9781000968866</v>
      </c>
      <c r="E513" s="1">
        <v>45474</v>
      </c>
      <c r="F513" s="1">
        <v>45203</v>
      </c>
      <c r="G513" t="s">
        <v>1481</v>
      </c>
    </row>
    <row r="514" spans="1:7" x14ac:dyDescent="0.25">
      <c r="A514">
        <v>30780323</v>
      </c>
      <c r="B514" t="s">
        <v>1490</v>
      </c>
      <c r="C514" t="str">
        <f>"9780367512323"</f>
        <v>9780367512323</v>
      </c>
      <c r="D514" t="str">
        <f>"9781000994162"</f>
        <v>9781000994162</v>
      </c>
      <c r="E514" s="1">
        <v>45251</v>
      </c>
      <c r="F514" s="1">
        <v>45210</v>
      </c>
      <c r="G514" t="s">
        <v>1491</v>
      </c>
    </row>
    <row r="515" spans="1:7" x14ac:dyDescent="0.25">
      <c r="A515">
        <v>30808853</v>
      </c>
      <c r="B515" t="s">
        <v>1501</v>
      </c>
      <c r="C515" t="str">
        <f>"9781032046280"</f>
        <v>9781032046280</v>
      </c>
      <c r="D515" t="str">
        <f>"9781003800057"</f>
        <v>9781003800057</v>
      </c>
      <c r="E515" s="1">
        <v>45271</v>
      </c>
      <c r="F515" s="1">
        <v>45223</v>
      </c>
      <c r="G515" t="s">
        <v>1502</v>
      </c>
    </row>
    <row r="516" spans="1:7" x14ac:dyDescent="0.25">
      <c r="A516">
        <v>30840984</v>
      </c>
      <c r="B516" t="s">
        <v>1509</v>
      </c>
      <c r="C516" t="str">
        <f>"9781032346793"</f>
        <v>9781032346793</v>
      </c>
      <c r="D516" t="str">
        <f>"9781000987539"</f>
        <v>9781000987539</v>
      </c>
      <c r="E516" s="1">
        <v>45253</v>
      </c>
      <c r="F516" s="1">
        <v>45231</v>
      </c>
      <c r="G516" t="s">
        <v>1510</v>
      </c>
    </row>
    <row r="517" spans="1:7" x14ac:dyDescent="0.25">
      <c r="A517">
        <v>30870497</v>
      </c>
      <c r="B517" t="s">
        <v>1516</v>
      </c>
      <c r="C517" t="str">
        <f>"9781032235035"</f>
        <v>9781032235035</v>
      </c>
      <c r="D517" t="str">
        <f>"9781003851929"</f>
        <v>9781003851929</v>
      </c>
      <c r="E517" s="1">
        <v>45292</v>
      </c>
      <c r="F517" s="1">
        <v>45238</v>
      </c>
      <c r="G517" t="s">
        <v>1517</v>
      </c>
    </row>
    <row r="518" spans="1:7" x14ac:dyDescent="0.25">
      <c r="A518">
        <v>30873764</v>
      </c>
      <c r="B518" t="s">
        <v>1518</v>
      </c>
      <c r="C518" t="str">
        <f>"9781032460468"</f>
        <v>9781032460468</v>
      </c>
      <c r="D518" t="str">
        <f>"9781003830931"</f>
        <v>9781003830931</v>
      </c>
      <c r="E518" s="1">
        <v>45282</v>
      </c>
      <c r="F518" s="1">
        <v>45239</v>
      </c>
      <c r="G518" t="s">
        <v>1519</v>
      </c>
    </row>
    <row r="519" spans="1:7" x14ac:dyDescent="0.25">
      <c r="A519">
        <v>30957403</v>
      </c>
      <c r="B519" t="s">
        <v>1534</v>
      </c>
      <c r="C519" t="str">
        <f>"9780367620653"</f>
        <v>9780367620653</v>
      </c>
      <c r="D519" t="str">
        <f>"9781003803164"</f>
        <v>9781003803164</v>
      </c>
      <c r="E519" s="1">
        <v>45261</v>
      </c>
      <c r="F519" s="1">
        <v>45251</v>
      </c>
      <c r="G519" t="s">
        <v>1535</v>
      </c>
    </row>
    <row r="520" spans="1:7" x14ac:dyDescent="0.25">
      <c r="A520">
        <v>30967732</v>
      </c>
      <c r="B520" t="s">
        <v>1536</v>
      </c>
      <c r="C520" t="str">
        <f>"9781032369679"</f>
        <v>9781032369679</v>
      </c>
      <c r="D520" t="str">
        <f>"9781003833567"</f>
        <v>9781003833567</v>
      </c>
      <c r="E520" s="1">
        <v>45261</v>
      </c>
      <c r="F520" s="1">
        <v>45255</v>
      </c>
      <c r="G520" t="s">
        <v>1537</v>
      </c>
    </row>
    <row r="521" spans="1:7" x14ac:dyDescent="0.25">
      <c r="A521">
        <v>30975786</v>
      </c>
      <c r="B521" t="s">
        <v>1540</v>
      </c>
      <c r="C521" t="str">
        <f>"9781032614076"</f>
        <v>9781032614076</v>
      </c>
      <c r="D521" t="str">
        <f>"9781003812654"</f>
        <v>9781003812654</v>
      </c>
      <c r="E521" s="1">
        <v>45289</v>
      </c>
      <c r="F521" s="1">
        <v>45259</v>
      </c>
      <c r="G521" t="s">
        <v>1541</v>
      </c>
    </row>
    <row r="522" spans="1:7" x14ac:dyDescent="0.25">
      <c r="A522">
        <v>31020415</v>
      </c>
      <c r="B522" t="s">
        <v>1544</v>
      </c>
      <c r="C522" t="str">
        <f>"9781032372662"</f>
        <v>9781032372662</v>
      </c>
      <c r="D522" t="str">
        <f>"9781003847472"</f>
        <v>9781003847472</v>
      </c>
      <c r="E522" s="1">
        <v>45296</v>
      </c>
      <c r="F522" s="1">
        <v>45276</v>
      </c>
      <c r="G522" t="s">
        <v>1545</v>
      </c>
    </row>
    <row r="523" spans="1:7" x14ac:dyDescent="0.25">
      <c r="A523">
        <v>31088220</v>
      </c>
      <c r="B523" t="s">
        <v>1558</v>
      </c>
      <c r="C523" t="str">
        <f>"9780367628628"</f>
        <v>9780367628628</v>
      </c>
      <c r="D523" t="str">
        <f>"9781003861409"</f>
        <v>9781003861409</v>
      </c>
      <c r="E523" s="1">
        <v>45383</v>
      </c>
      <c r="F523" s="1">
        <v>45319</v>
      </c>
      <c r="G523" t="s">
        <v>1559</v>
      </c>
    </row>
    <row r="524" spans="1:7" x14ac:dyDescent="0.25">
      <c r="A524">
        <v>31165100</v>
      </c>
      <c r="B524" t="s">
        <v>1574</v>
      </c>
      <c r="C524" t="str">
        <f>"9781032345680"</f>
        <v>9781032345680</v>
      </c>
      <c r="D524" t="str">
        <f>"9781003850373"</f>
        <v>9781003850373</v>
      </c>
      <c r="E524" s="1">
        <v>45362</v>
      </c>
      <c r="F524" s="1">
        <v>45339</v>
      </c>
      <c r="G524" t="s">
        <v>1575</v>
      </c>
    </row>
    <row r="525" spans="1:7" x14ac:dyDescent="0.25">
      <c r="A525">
        <v>31177880</v>
      </c>
      <c r="B525" t="s">
        <v>1576</v>
      </c>
      <c r="C525" t="str">
        <f>"9781032530536"</f>
        <v>9781032530536</v>
      </c>
      <c r="D525" t="str">
        <f>"9781040027158"</f>
        <v>9781040027158</v>
      </c>
      <c r="E525" s="1">
        <v>45323</v>
      </c>
      <c r="F525" s="1">
        <v>45348</v>
      </c>
      <c r="G525" t="s">
        <v>1577</v>
      </c>
    </row>
    <row r="526" spans="1:7" x14ac:dyDescent="0.25">
      <c r="A526">
        <v>31253344</v>
      </c>
      <c r="B526" t="s">
        <v>1597</v>
      </c>
      <c r="C526" t="str">
        <f>"9781032364278"</f>
        <v>9781032364278</v>
      </c>
      <c r="D526" t="str">
        <f>"9781040041727"</f>
        <v>9781040041727</v>
      </c>
      <c r="E526" s="1">
        <v>45444</v>
      </c>
      <c r="F526" s="1">
        <v>45389</v>
      </c>
      <c r="G526" t="s">
        <v>1598</v>
      </c>
    </row>
    <row r="527" spans="1:7" x14ac:dyDescent="0.25">
      <c r="A527">
        <v>31255463</v>
      </c>
      <c r="B527" t="s">
        <v>1601</v>
      </c>
      <c r="C527" t="str">
        <f>"9781032431550"</f>
        <v>9781032431550</v>
      </c>
      <c r="D527" t="str">
        <f>"9781003857297"</f>
        <v>9781003857297</v>
      </c>
      <c r="E527" s="1">
        <v>45412</v>
      </c>
      <c r="F527" s="1">
        <v>45392</v>
      </c>
      <c r="G527" t="s">
        <v>1602</v>
      </c>
    </row>
    <row r="528" spans="1:7" x14ac:dyDescent="0.25">
      <c r="A528">
        <v>31309108</v>
      </c>
      <c r="B528" t="s">
        <v>1609</v>
      </c>
      <c r="C528" t="str">
        <f>"9781032618791"</f>
        <v>9781032618791</v>
      </c>
      <c r="D528" t="str">
        <f>"9781040033203"</f>
        <v>9781040033203</v>
      </c>
      <c r="E528" s="1">
        <v>45468</v>
      </c>
      <c r="F528" s="1">
        <v>45411</v>
      </c>
      <c r="G528" t="s">
        <v>1610</v>
      </c>
    </row>
    <row r="529" spans="1:7" x14ac:dyDescent="0.25">
      <c r="A529">
        <v>31338432</v>
      </c>
      <c r="B529" t="s">
        <v>1616</v>
      </c>
      <c r="C529" t="str">
        <f>"9781032633893"</f>
        <v>9781032633893</v>
      </c>
      <c r="D529" t="str">
        <f>"9781040042489"</f>
        <v>9781040042489</v>
      </c>
      <c r="E529" s="1">
        <v>45444</v>
      </c>
      <c r="F529" s="1">
        <v>45425</v>
      </c>
      <c r="G529" t="s">
        <v>1617</v>
      </c>
    </row>
    <row r="530" spans="1:7" x14ac:dyDescent="0.25">
      <c r="A530">
        <v>31364161</v>
      </c>
      <c r="B530" t="s">
        <v>1618</v>
      </c>
      <c r="C530" t="str">
        <f>"9781032718835"</f>
        <v>9781032718835</v>
      </c>
      <c r="D530" t="str">
        <f>"9781040038758"</f>
        <v>9781040038758</v>
      </c>
      <c r="E530" s="1">
        <v>45444</v>
      </c>
      <c r="F530" s="1">
        <v>45448</v>
      </c>
      <c r="G530" t="s">
        <v>1619</v>
      </c>
    </row>
    <row r="531" spans="1:7" x14ac:dyDescent="0.25">
      <c r="A531">
        <v>31467376</v>
      </c>
      <c r="B531" t="s">
        <v>1620</v>
      </c>
      <c r="C531" t="str">
        <f>"9781032826578"</f>
        <v>9781032826578</v>
      </c>
      <c r="D531" t="str">
        <f>"9781040152560"</f>
        <v>9781040152560</v>
      </c>
      <c r="E531" s="1">
        <v>45572</v>
      </c>
      <c r="F531" s="1">
        <v>45455</v>
      </c>
      <c r="G531" t="s">
        <v>1621</v>
      </c>
    </row>
  </sheetData>
  <autoFilter ref="A1:AN1" xr:uid="{00000000-0009-0000-0000-000000000000}">
    <sortState xmlns:xlrd2="http://schemas.microsoft.com/office/spreadsheetml/2017/richdata2" ref="A2:AN531">
      <sortCondition ref="H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20241030_3914587_ungli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Dyveke Sijm</dc:creator>
  <cp:lastModifiedBy>Dina Lemming Pedersen</cp:lastModifiedBy>
  <dcterms:created xsi:type="dcterms:W3CDTF">2024-10-30T11:55:20Z</dcterms:created>
  <dcterms:modified xsi:type="dcterms:W3CDTF">2024-11-06T10:00:32Z</dcterms:modified>
</cp:coreProperties>
</file>